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kom365.sharepoint.com/sites/Nkom-Spektrumsavdelingen/Delte dokumenter/Spektrum/ST/Faste tjenester/Radiolinje/Kanalplaner/"/>
    </mc:Choice>
  </mc:AlternateContent>
  <xr:revisionPtr revIDLastSave="71" documentId="8_{72F36DDE-3AAD-435F-9D5D-7B0E363890BF}" xr6:coauthVersionLast="47" xr6:coauthVersionMax="47" xr10:uidLastSave="{25A675B6-48C6-419D-921B-56AB8136E5B5}"/>
  <bookViews>
    <workbookView xWindow="-120" yWindow="-120" windowWidth="29040" windowHeight="17520" tabRatio="683" firstSheet="5" activeTab="18" xr2:uid="{CDFFBD8A-ED7A-4D95-8817-0203D7030C25}"/>
  </bookViews>
  <sheets>
    <sheet name="Oversikt" sheetId="20" r:id="rId1"/>
    <sheet name="P2P-P2MP" sheetId="19" r:id="rId2"/>
    <sheet name="438-438,85 &gt;&lt; 445-445,85 MHz" sheetId="17" r:id="rId3"/>
    <sheet name="438,9-439,6 &gt;&lt; 445,9-446,6 MHz" sheetId="16" r:id="rId4"/>
    <sheet name="442-442,985 &gt;&lt; 447-447,985 MHz" sheetId="15" r:id="rId5"/>
    <sheet name="L6GHz" sheetId="13" r:id="rId6"/>
    <sheet name="H6GHz" sheetId="4" r:id="rId7"/>
    <sheet name="L7GHz" sheetId="5" r:id="rId8"/>
    <sheet name="H7GHz" sheetId="6" r:id="rId9"/>
    <sheet name="8GHz" sheetId="2" r:id="rId10"/>
    <sheet name="L10GHz" sheetId="12" r:id="rId11"/>
    <sheet name="H10GHz" sheetId="7" r:id="rId12"/>
    <sheet name="13GHz" sheetId="3" r:id="rId13"/>
    <sheet name="18GHz" sheetId="1" r:id="rId14"/>
    <sheet name="23GHz" sheetId="8" r:id="rId15"/>
    <sheet name="28GHz" sheetId="9" r:id="rId16"/>
    <sheet name="32GHz" sheetId="10" r:id="rId17"/>
    <sheet name="38GHz" sheetId="11" r:id="rId18"/>
    <sheet name="71_76 og 81_86 GHz" sheetId="21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155" i="21" l="1"/>
  <c r="AM155" i="21"/>
  <c r="AI155" i="21"/>
  <c r="AE155" i="21"/>
  <c r="AA155" i="21"/>
  <c r="W155" i="21"/>
  <c r="S155" i="21"/>
  <c r="O155" i="21"/>
  <c r="K155" i="21"/>
  <c r="G155" i="21"/>
  <c r="C155" i="21"/>
  <c r="AQ154" i="21"/>
  <c r="AM154" i="21"/>
  <c r="AI154" i="21"/>
  <c r="AE154" i="21"/>
  <c r="AA154" i="21"/>
  <c r="W154" i="21"/>
  <c r="S154" i="21"/>
  <c r="O154" i="21"/>
  <c r="K154" i="21"/>
  <c r="G154" i="21"/>
  <c r="C154" i="21"/>
  <c r="AQ153" i="21"/>
  <c r="AM153" i="21"/>
  <c r="AI153" i="21"/>
  <c r="AE153" i="21"/>
  <c r="AA153" i="21"/>
  <c r="W153" i="21"/>
  <c r="S153" i="21"/>
  <c r="O153" i="21"/>
  <c r="K153" i="21"/>
  <c r="G153" i="21"/>
  <c r="C153" i="21"/>
  <c r="AQ152" i="21"/>
  <c r="AM152" i="21"/>
  <c r="AI152" i="21"/>
  <c r="AE152" i="21"/>
  <c r="AA152" i="21"/>
  <c r="W152" i="21"/>
  <c r="S152" i="21"/>
  <c r="O152" i="21"/>
  <c r="K152" i="21"/>
  <c r="G152" i="21"/>
  <c r="C152" i="21"/>
  <c r="AQ151" i="21"/>
  <c r="AM151" i="21"/>
  <c r="AI151" i="21"/>
  <c r="AE151" i="21"/>
  <c r="AA151" i="21"/>
  <c r="W151" i="21"/>
  <c r="S151" i="21"/>
  <c r="O151" i="21"/>
  <c r="K151" i="21"/>
  <c r="G151" i="21"/>
  <c r="C151" i="21"/>
  <c r="AQ150" i="21"/>
  <c r="AM150" i="21"/>
  <c r="AI150" i="21"/>
  <c r="AE150" i="21"/>
  <c r="AA150" i="21"/>
  <c r="W150" i="21"/>
  <c r="S150" i="21"/>
  <c r="O150" i="21"/>
  <c r="K150" i="21"/>
  <c r="G150" i="21"/>
  <c r="C150" i="21"/>
  <c r="AQ149" i="21"/>
  <c r="AM149" i="21"/>
  <c r="AI149" i="21"/>
  <c r="AE149" i="21"/>
  <c r="AA149" i="21"/>
  <c r="W149" i="21"/>
  <c r="S149" i="21"/>
  <c r="O149" i="21"/>
  <c r="K149" i="21"/>
  <c r="G149" i="21"/>
  <c r="C149" i="21"/>
  <c r="AQ148" i="21"/>
  <c r="AM148" i="21"/>
  <c r="AI148" i="21"/>
  <c r="AE148" i="21"/>
  <c r="AA148" i="21"/>
  <c r="W148" i="21"/>
  <c r="S148" i="21"/>
  <c r="O148" i="21"/>
  <c r="K148" i="21"/>
  <c r="G148" i="21"/>
  <c r="C148" i="21"/>
  <c r="AQ147" i="21"/>
  <c r="AM147" i="21"/>
  <c r="AI147" i="21"/>
  <c r="AE147" i="21"/>
  <c r="AA147" i="21"/>
  <c r="W147" i="21"/>
  <c r="S147" i="21"/>
  <c r="O147" i="21"/>
  <c r="K147" i="21"/>
  <c r="G147" i="21"/>
  <c r="C147" i="21"/>
  <c r="AQ146" i="21"/>
  <c r="AM146" i="21"/>
  <c r="AI146" i="21"/>
  <c r="AE146" i="21"/>
  <c r="AA146" i="21"/>
  <c r="W146" i="21"/>
  <c r="S146" i="21"/>
  <c r="O146" i="21"/>
  <c r="K146" i="21"/>
  <c r="G146" i="21"/>
  <c r="C146" i="21"/>
  <c r="AQ145" i="21"/>
  <c r="AM145" i="21"/>
  <c r="AI145" i="21"/>
  <c r="AE145" i="21"/>
  <c r="AA145" i="21"/>
  <c r="W145" i="21"/>
  <c r="S145" i="21"/>
  <c r="O145" i="21"/>
  <c r="K145" i="21"/>
  <c r="G145" i="21"/>
  <c r="C145" i="21"/>
  <c r="AQ144" i="21"/>
  <c r="AM144" i="21"/>
  <c r="AI144" i="21"/>
  <c r="AE144" i="21"/>
  <c r="AA144" i="21"/>
  <c r="W144" i="21"/>
  <c r="S144" i="21"/>
  <c r="O144" i="21"/>
  <c r="K144" i="21"/>
  <c r="G144" i="21"/>
  <c r="C144" i="21"/>
  <c r="AQ143" i="21"/>
  <c r="AM143" i="21"/>
  <c r="AI143" i="21"/>
  <c r="AE143" i="21"/>
  <c r="AA143" i="21"/>
  <c r="W143" i="21"/>
  <c r="S143" i="21"/>
  <c r="O143" i="21"/>
  <c r="K143" i="21"/>
  <c r="G143" i="21"/>
  <c r="C143" i="21"/>
  <c r="AQ142" i="21"/>
  <c r="AM142" i="21"/>
  <c r="AI142" i="21"/>
  <c r="AE142" i="21"/>
  <c r="AA142" i="21"/>
  <c r="W142" i="21"/>
  <c r="S142" i="21"/>
  <c r="O142" i="21"/>
  <c r="K142" i="21"/>
  <c r="G142" i="21"/>
  <c r="C142" i="21"/>
  <c r="AQ141" i="21"/>
  <c r="AM141" i="21"/>
  <c r="AI141" i="21"/>
  <c r="AE141" i="21"/>
  <c r="AA141" i="21"/>
  <c r="W141" i="21"/>
  <c r="S141" i="21"/>
  <c r="O141" i="21"/>
  <c r="K141" i="21"/>
  <c r="G141" i="21"/>
  <c r="C141" i="21"/>
  <c r="AQ140" i="21"/>
  <c r="AM140" i="21"/>
  <c r="AI140" i="21"/>
  <c r="AE140" i="21"/>
  <c r="AA140" i="21"/>
  <c r="W140" i="21"/>
  <c r="S140" i="21"/>
  <c r="O140" i="21"/>
  <c r="K140" i="21"/>
  <c r="G140" i="21"/>
  <c r="C140" i="21"/>
  <c r="AQ139" i="21"/>
  <c r="AM139" i="21"/>
  <c r="AI139" i="21"/>
  <c r="AE139" i="21"/>
  <c r="AA139" i="21"/>
  <c r="W139" i="21"/>
  <c r="S139" i="21"/>
  <c r="O139" i="21"/>
  <c r="K139" i="21"/>
  <c r="G139" i="21"/>
  <c r="C139" i="21"/>
  <c r="AQ138" i="21"/>
  <c r="AM138" i="21"/>
  <c r="AI138" i="21"/>
  <c r="AE138" i="21"/>
  <c r="AA138" i="21"/>
  <c r="W138" i="21"/>
  <c r="S138" i="21"/>
  <c r="O138" i="21"/>
  <c r="K138" i="21"/>
  <c r="G138" i="21"/>
  <c r="C138" i="21"/>
  <c r="AQ137" i="21"/>
  <c r="AM137" i="21"/>
  <c r="AI137" i="21"/>
  <c r="AE137" i="21"/>
  <c r="AA137" i="21"/>
  <c r="W137" i="21"/>
  <c r="S137" i="21"/>
  <c r="O137" i="21"/>
  <c r="K137" i="21"/>
  <c r="G137" i="21"/>
  <c r="C137" i="21"/>
  <c r="AQ136" i="21"/>
  <c r="AM136" i="21"/>
  <c r="AI136" i="21"/>
  <c r="AE136" i="21"/>
  <c r="AA136" i="21"/>
  <c r="W136" i="21"/>
  <c r="S136" i="21"/>
  <c r="O136" i="21"/>
  <c r="K136" i="21"/>
  <c r="G136" i="21"/>
  <c r="C136" i="21"/>
  <c r="AQ135" i="21"/>
  <c r="AM135" i="21"/>
  <c r="AI135" i="21"/>
  <c r="AE135" i="21"/>
  <c r="AA135" i="21"/>
  <c r="W135" i="21"/>
  <c r="S135" i="21"/>
  <c r="O135" i="21"/>
  <c r="K135" i="21"/>
  <c r="G135" i="21"/>
  <c r="C135" i="21"/>
  <c r="AQ134" i="21"/>
  <c r="AM134" i="21"/>
  <c r="AI134" i="21"/>
  <c r="AE134" i="21"/>
  <c r="AA134" i="21"/>
  <c r="W134" i="21"/>
  <c r="S134" i="21"/>
  <c r="O134" i="21"/>
  <c r="K134" i="21"/>
  <c r="G134" i="21"/>
  <c r="C134" i="21"/>
  <c r="AQ133" i="21"/>
  <c r="AM133" i="21"/>
  <c r="AI133" i="21"/>
  <c r="AE133" i="21"/>
  <c r="AA133" i="21"/>
  <c r="W133" i="21"/>
  <c r="S133" i="21"/>
  <c r="O133" i="21"/>
  <c r="K133" i="21"/>
  <c r="G133" i="21"/>
  <c r="C133" i="21"/>
  <c r="AQ132" i="21"/>
  <c r="AM132" i="21"/>
  <c r="AI132" i="21"/>
  <c r="AE132" i="21"/>
  <c r="AA132" i="21"/>
  <c r="W132" i="21"/>
  <c r="S132" i="21"/>
  <c r="O132" i="21"/>
  <c r="K132" i="21"/>
  <c r="G132" i="21"/>
  <c r="C132" i="21"/>
  <c r="AQ131" i="21"/>
  <c r="AM131" i="21"/>
  <c r="AI131" i="21"/>
  <c r="AE131" i="21"/>
  <c r="AA131" i="21"/>
  <c r="W131" i="21"/>
  <c r="S131" i="21"/>
  <c r="O131" i="21"/>
  <c r="K131" i="21"/>
  <c r="G131" i="21"/>
  <c r="C131" i="21"/>
  <c r="AQ130" i="21"/>
  <c r="AM130" i="21"/>
  <c r="AI130" i="21"/>
  <c r="AE130" i="21"/>
  <c r="AA130" i="21"/>
  <c r="W130" i="21"/>
  <c r="S130" i="21"/>
  <c r="O130" i="21"/>
  <c r="K130" i="21"/>
  <c r="G130" i="21"/>
  <c r="C130" i="21"/>
  <c r="AQ129" i="21"/>
  <c r="AM129" i="21"/>
  <c r="AI129" i="21"/>
  <c r="AE129" i="21"/>
  <c r="AA129" i="21"/>
  <c r="W129" i="21"/>
  <c r="S129" i="21"/>
  <c r="O129" i="21"/>
  <c r="K129" i="21"/>
  <c r="G129" i="21"/>
  <c r="C129" i="21"/>
  <c r="AQ128" i="21"/>
  <c r="AM128" i="21"/>
  <c r="AI128" i="21"/>
  <c r="AE128" i="21"/>
  <c r="AA128" i="21"/>
  <c r="W128" i="21"/>
  <c r="S128" i="21"/>
  <c r="O128" i="21"/>
  <c r="K128" i="21"/>
  <c r="G128" i="21"/>
  <c r="C128" i="21"/>
  <c r="AQ127" i="21"/>
  <c r="AM127" i="21"/>
  <c r="AI127" i="21"/>
  <c r="AE127" i="21"/>
  <c r="AA127" i="21"/>
  <c r="W127" i="21"/>
  <c r="S127" i="21"/>
  <c r="O127" i="21"/>
  <c r="K127" i="21"/>
  <c r="G127" i="21"/>
  <c r="C127" i="21"/>
  <c r="AQ126" i="21"/>
  <c r="AM126" i="21"/>
  <c r="AI126" i="21"/>
  <c r="AE126" i="21"/>
  <c r="AA126" i="21"/>
  <c r="W126" i="21"/>
  <c r="S126" i="21"/>
  <c r="O126" i="21"/>
  <c r="K126" i="21"/>
  <c r="G126" i="21"/>
  <c r="C126" i="21"/>
  <c r="AQ125" i="21"/>
  <c r="AM125" i="21"/>
  <c r="AI125" i="21"/>
  <c r="AE125" i="21"/>
  <c r="AA125" i="21"/>
  <c r="W125" i="21"/>
  <c r="S125" i="21"/>
  <c r="O125" i="21"/>
  <c r="K125" i="21"/>
  <c r="G125" i="21"/>
  <c r="C125" i="21"/>
  <c r="AQ124" i="21"/>
  <c r="AM124" i="21"/>
  <c r="AI124" i="21"/>
  <c r="AE124" i="21"/>
  <c r="AA124" i="21"/>
  <c r="W124" i="21"/>
  <c r="S124" i="21"/>
  <c r="O124" i="21"/>
  <c r="K124" i="21"/>
  <c r="G124" i="21"/>
  <c r="C124" i="21"/>
  <c r="AQ123" i="21"/>
  <c r="AM123" i="21"/>
  <c r="AI123" i="21"/>
  <c r="AE123" i="21"/>
  <c r="AA123" i="21"/>
  <c r="W123" i="21"/>
  <c r="S123" i="21"/>
  <c r="O123" i="21"/>
  <c r="K123" i="21"/>
  <c r="G123" i="21"/>
  <c r="C123" i="21"/>
  <c r="AQ122" i="21"/>
  <c r="AM122" i="21"/>
  <c r="AI122" i="21"/>
  <c r="AE122" i="21"/>
  <c r="AA122" i="21"/>
  <c r="W122" i="21"/>
  <c r="S122" i="21"/>
  <c r="O122" i="21"/>
  <c r="K122" i="21"/>
  <c r="G122" i="21"/>
  <c r="C122" i="21"/>
  <c r="AQ121" i="21"/>
  <c r="AM121" i="21"/>
  <c r="AI121" i="21"/>
  <c r="AE121" i="21"/>
  <c r="AA121" i="21"/>
  <c r="W121" i="21"/>
  <c r="S121" i="21"/>
  <c r="O121" i="21"/>
  <c r="K121" i="21"/>
  <c r="G121" i="21"/>
  <c r="C121" i="21"/>
  <c r="AQ120" i="21"/>
  <c r="AM120" i="21"/>
  <c r="AI120" i="21"/>
  <c r="AE120" i="21"/>
  <c r="AA120" i="21"/>
  <c r="W120" i="21"/>
  <c r="S120" i="21"/>
  <c r="O120" i="21"/>
  <c r="K120" i="21"/>
  <c r="G120" i="21"/>
  <c r="C120" i="21"/>
  <c r="AQ119" i="21"/>
  <c r="AM119" i="21"/>
  <c r="AI119" i="21"/>
  <c r="AE119" i="21"/>
  <c r="AA119" i="21"/>
  <c r="W119" i="21"/>
  <c r="S119" i="21"/>
  <c r="O119" i="21"/>
  <c r="K119" i="21"/>
  <c r="G119" i="21"/>
  <c r="C119" i="21"/>
  <c r="AQ118" i="21"/>
  <c r="AM118" i="21"/>
  <c r="AI118" i="21"/>
  <c r="AE118" i="21"/>
  <c r="AA118" i="21"/>
  <c r="W118" i="21"/>
  <c r="S118" i="21"/>
  <c r="O118" i="21"/>
  <c r="K118" i="21"/>
  <c r="G118" i="21"/>
  <c r="C118" i="21"/>
  <c r="AQ117" i="21"/>
  <c r="AM117" i="21"/>
  <c r="AI117" i="21"/>
  <c r="AE117" i="21"/>
  <c r="AA117" i="21"/>
  <c r="W117" i="21"/>
  <c r="S117" i="21"/>
  <c r="O117" i="21"/>
  <c r="K117" i="21"/>
  <c r="G117" i="21"/>
  <c r="C117" i="21"/>
  <c r="AQ116" i="21"/>
  <c r="AM116" i="21"/>
  <c r="AI116" i="21"/>
  <c r="AE116" i="21"/>
  <c r="AA116" i="21"/>
  <c r="W116" i="21"/>
  <c r="S116" i="21"/>
  <c r="O116" i="21"/>
  <c r="K116" i="21"/>
  <c r="G116" i="21"/>
  <c r="C116" i="21"/>
  <c r="AQ115" i="21"/>
  <c r="AM115" i="21"/>
  <c r="AI115" i="21"/>
  <c r="AE115" i="21"/>
  <c r="AA115" i="21"/>
  <c r="W115" i="21"/>
  <c r="S115" i="21"/>
  <c r="O115" i="21"/>
  <c r="K115" i="21"/>
  <c r="G115" i="21"/>
  <c r="C115" i="21"/>
  <c r="AQ114" i="21"/>
  <c r="AM114" i="21"/>
  <c r="AI114" i="21"/>
  <c r="AE114" i="21"/>
  <c r="AA114" i="21"/>
  <c r="W114" i="21"/>
  <c r="S114" i="21"/>
  <c r="O114" i="21"/>
  <c r="K114" i="21"/>
  <c r="G114" i="21"/>
  <c r="C114" i="21"/>
  <c r="AQ113" i="21"/>
  <c r="AM113" i="21"/>
  <c r="AI113" i="21"/>
  <c r="AE113" i="21"/>
  <c r="AA113" i="21"/>
  <c r="W113" i="21"/>
  <c r="S113" i="21"/>
  <c r="O113" i="21"/>
  <c r="K113" i="21"/>
  <c r="G113" i="21"/>
  <c r="C113" i="21"/>
  <c r="AQ112" i="21"/>
  <c r="AM112" i="21"/>
  <c r="AI112" i="21"/>
  <c r="AE112" i="21"/>
  <c r="AA112" i="21"/>
  <c r="W112" i="21"/>
  <c r="S112" i="21"/>
  <c r="O112" i="21"/>
  <c r="K112" i="21"/>
  <c r="G112" i="21"/>
  <c r="C112" i="21"/>
  <c r="AQ111" i="21"/>
  <c r="AM111" i="21"/>
  <c r="AI111" i="21"/>
  <c r="AE111" i="21"/>
  <c r="AA111" i="21"/>
  <c r="W111" i="21"/>
  <c r="S111" i="21"/>
  <c r="O111" i="21"/>
  <c r="K111" i="21"/>
  <c r="G111" i="21"/>
  <c r="C111" i="21"/>
  <c r="AQ110" i="21"/>
  <c r="AM110" i="21"/>
  <c r="AI110" i="21"/>
  <c r="AE110" i="21"/>
  <c r="AA110" i="21"/>
  <c r="W110" i="21"/>
  <c r="S110" i="21"/>
  <c r="O110" i="21"/>
  <c r="K110" i="21"/>
  <c r="G110" i="21"/>
  <c r="C110" i="21"/>
  <c r="AQ109" i="21"/>
  <c r="AM109" i="21"/>
  <c r="AI109" i="21"/>
  <c r="AE109" i="21"/>
  <c r="AA109" i="21"/>
  <c r="W109" i="21"/>
  <c r="S109" i="21"/>
  <c r="O109" i="21"/>
  <c r="K109" i="21"/>
  <c r="G109" i="21"/>
  <c r="C109" i="21"/>
  <c r="AQ108" i="21"/>
  <c r="AM108" i="21"/>
  <c r="AI108" i="21"/>
  <c r="AE108" i="21"/>
  <c r="AA108" i="21"/>
  <c r="W108" i="21"/>
  <c r="S108" i="21"/>
  <c r="O108" i="21"/>
  <c r="K108" i="21"/>
  <c r="G108" i="21"/>
  <c r="C108" i="21"/>
  <c r="AQ107" i="21"/>
  <c r="AM107" i="21"/>
  <c r="AI107" i="21"/>
  <c r="AE107" i="21"/>
  <c r="AA107" i="21"/>
  <c r="W107" i="21"/>
  <c r="S107" i="21"/>
  <c r="O107" i="21"/>
  <c r="K107" i="21"/>
  <c r="G107" i="21"/>
  <c r="C107" i="21"/>
  <c r="AQ106" i="21"/>
  <c r="AM106" i="21"/>
  <c r="AI106" i="21"/>
  <c r="AE106" i="21"/>
  <c r="AA106" i="21"/>
  <c r="W106" i="21"/>
  <c r="S106" i="21"/>
  <c r="O106" i="21"/>
  <c r="K106" i="21"/>
  <c r="G106" i="21"/>
  <c r="C106" i="21"/>
  <c r="AQ105" i="21"/>
  <c r="AM105" i="21"/>
  <c r="AI105" i="21"/>
  <c r="AE105" i="21"/>
  <c r="AA105" i="21"/>
  <c r="W105" i="21"/>
  <c r="S105" i="21"/>
  <c r="O105" i="21"/>
  <c r="K105" i="21"/>
  <c r="G105" i="21"/>
  <c r="C105" i="21"/>
  <c r="AQ104" i="21"/>
  <c r="AM104" i="21"/>
  <c r="AI104" i="21"/>
  <c r="AE104" i="21"/>
  <c r="AA104" i="21"/>
  <c r="W104" i="21"/>
  <c r="S104" i="21"/>
  <c r="O104" i="21"/>
  <c r="K104" i="21"/>
  <c r="G104" i="21"/>
  <c r="C104" i="21"/>
  <c r="AQ103" i="21"/>
  <c r="AM103" i="21"/>
  <c r="AI103" i="21"/>
  <c r="AE103" i="21"/>
  <c r="AA103" i="21"/>
  <c r="W103" i="21"/>
  <c r="S103" i="21"/>
  <c r="O103" i="21"/>
  <c r="K103" i="21"/>
  <c r="G103" i="21"/>
  <c r="C103" i="21"/>
  <c r="AQ102" i="21"/>
  <c r="AM102" i="21"/>
  <c r="AI102" i="21"/>
  <c r="AE102" i="21"/>
  <c r="AA102" i="21"/>
  <c r="W102" i="21"/>
  <c r="S102" i="21"/>
  <c r="O102" i="21"/>
  <c r="K102" i="21"/>
  <c r="G102" i="21"/>
  <c r="C102" i="21"/>
  <c r="AQ101" i="21"/>
  <c r="AM101" i="21"/>
  <c r="AI101" i="21"/>
  <c r="AA101" i="21"/>
  <c r="S101" i="21"/>
  <c r="O101" i="21"/>
  <c r="K101" i="21"/>
  <c r="G101" i="21"/>
  <c r="C101" i="21"/>
  <c r="AQ100" i="21"/>
  <c r="AM100" i="21"/>
  <c r="AI100" i="21"/>
  <c r="AE100" i="21"/>
  <c r="AA100" i="21"/>
  <c r="W100" i="21"/>
  <c r="S100" i="21"/>
  <c r="O100" i="21"/>
  <c r="K100" i="21"/>
  <c r="G100" i="21"/>
  <c r="C100" i="21"/>
  <c r="AQ99" i="21"/>
  <c r="AM99" i="21"/>
  <c r="AI99" i="21"/>
  <c r="AE99" i="21"/>
  <c r="AA99" i="21"/>
  <c r="W99" i="21"/>
  <c r="S99" i="21"/>
  <c r="O99" i="21"/>
  <c r="K99" i="21"/>
  <c r="G99" i="21"/>
  <c r="C99" i="21"/>
  <c r="AQ98" i="21"/>
  <c r="AM98" i="21"/>
  <c r="AI98" i="21"/>
  <c r="AE98" i="21"/>
  <c r="AA98" i="21"/>
  <c r="W98" i="21"/>
  <c r="S98" i="21"/>
  <c r="O98" i="21"/>
  <c r="K98" i="21"/>
  <c r="G98" i="21"/>
  <c r="C98" i="21"/>
  <c r="AQ97" i="21"/>
  <c r="AM97" i="21"/>
  <c r="AI97" i="21"/>
  <c r="AE97" i="21"/>
  <c r="AA97" i="21"/>
  <c r="W97" i="21"/>
  <c r="S97" i="21"/>
  <c r="O97" i="21"/>
  <c r="K97" i="21"/>
  <c r="G97" i="21"/>
  <c r="C97" i="21"/>
  <c r="AQ96" i="21"/>
  <c r="AM96" i="21"/>
  <c r="AI96" i="21"/>
  <c r="AE96" i="21"/>
  <c r="AA96" i="21"/>
  <c r="W96" i="21"/>
  <c r="S96" i="21"/>
  <c r="O96" i="21"/>
  <c r="K96" i="21"/>
  <c r="G96" i="21"/>
  <c r="C96" i="21"/>
  <c r="AQ95" i="21"/>
  <c r="AM95" i="21"/>
  <c r="AI95" i="21"/>
  <c r="AE95" i="21"/>
  <c r="AA95" i="21"/>
  <c r="W95" i="21"/>
  <c r="S95" i="21"/>
  <c r="O95" i="21"/>
  <c r="K95" i="21"/>
  <c r="G95" i="21"/>
  <c r="C95" i="21"/>
  <c r="AQ94" i="21"/>
  <c r="AM94" i="21"/>
  <c r="AI94" i="21"/>
  <c r="AE94" i="21"/>
  <c r="AA94" i="21"/>
  <c r="W94" i="21"/>
  <c r="S94" i="21"/>
  <c r="O94" i="21"/>
  <c r="K94" i="21"/>
  <c r="G94" i="21"/>
  <c r="C94" i="21"/>
  <c r="AQ93" i="21"/>
  <c r="AM93" i="21"/>
  <c r="AI93" i="21"/>
  <c r="AE93" i="21"/>
  <c r="AA93" i="21"/>
  <c r="W93" i="21"/>
  <c r="S93" i="21"/>
  <c r="O93" i="21"/>
  <c r="K93" i="21"/>
  <c r="G93" i="21"/>
  <c r="C93" i="21"/>
  <c r="AQ92" i="21"/>
  <c r="AM92" i="21"/>
  <c r="AI92" i="21"/>
  <c r="AE92" i="21"/>
  <c r="AA92" i="21"/>
  <c r="W92" i="21"/>
  <c r="S92" i="21"/>
  <c r="O92" i="21"/>
  <c r="K92" i="21"/>
  <c r="G92" i="21"/>
  <c r="C92" i="21"/>
  <c r="AQ91" i="21"/>
  <c r="AM91" i="21"/>
  <c r="AI91" i="21"/>
  <c r="AE91" i="21"/>
  <c r="AA91" i="21"/>
  <c r="W91" i="21"/>
  <c r="S91" i="21"/>
  <c r="O91" i="21"/>
  <c r="K91" i="21"/>
  <c r="G91" i="21"/>
  <c r="C91" i="21"/>
  <c r="AQ90" i="21"/>
  <c r="AM90" i="21"/>
  <c r="AI90" i="21"/>
  <c r="AE90" i="21"/>
  <c r="AA90" i="21"/>
  <c r="W90" i="21"/>
  <c r="S90" i="21"/>
  <c r="O90" i="21"/>
  <c r="K90" i="21"/>
  <c r="G90" i="21"/>
  <c r="C90" i="21"/>
  <c r="AQ89" i="21"/>
  <c r="AM89" i="21"/>
  <c r="AI89" i="21"/>
  <c r="AE89" i="21"/>
  <c r="AA89" i="21"/>
  <c r="W89" i="21"/>
  <c r="S89" i="21"/>
  <c r="O89" i="21"/>
  <c r="K89" i="21"/>
  <c r="G89" i="21"/>
  <c r="C89" i="21"/>
  <c r="AQ88" i="21"/>
  <c r="AM88" i="21"/>
  <c r="AI88" i="21"/>
  <c r="AE88" i="21"/>
  <c r="AA88" i="21"/>
  <c r="W88" i="21"/>
  <c r="S88" i="21"/>
  <c r="O88" i="21"/>
  <c r="K88" i="21"/>
  <c r="G88" i="21"/>
  <c r="C88" i="21"/>
  <c r="AQ87" i="21"/>
  <c r="AM87" i="21"/>
  <c r="AI87" i="21"/>
  <c r="AE87" i="21"/>
  <c r="AA87" i="21"/>
  <c r="W87" i="21"/>
  <c r="S87" i="21"/>
  <c r="O87" i="21"/>
  <c r="K87" i="21"/>
  <c r="G87" i="21"/>
  <c r="C87" i="21"/>
  <c r="AQ86" i="21"/>
  <c r="AM86" i="21"/>
  <c r="AI86" i="21"/>
  <c r="AE86" i="21"/>
  <c r="AA86" i="21"/>
  <c r="W86" i="21"/>
  <c r="S86" i="21"/>
  <c r="O86" i="21"/>
  <c r="K86" i="21"/>
  <c r="G86" i="21"/>
  <c r="C86" i="21"/>
  <c r="AQ85" i="21"/>
  <c r="AM85" i="21"/>
  <c r="AI85" i="21"/>
  <c r="AE85" i="21"/>
  <c r="AA85" i="21"/>
  <c r="W85" i="21"/>
  <c r="S85" i="21"/>
  <c r="O85" i="21"/>
  <c r="K85" i="21"/>
  <c r="G85" i="21"/>
  <c r="C85" i="21"/>
  <c r="AQ84" i="21"/>
  <c r="AM84" i="21"/>
  <c r="AI84" i="21"/>
  <c r="AE84" i="21"/>
  <c r="AA84" i="21"/>
  <c r="W84" i="21"/>
  <c r="S84" i="21"/>
  <c r="O84" i="21"/>
  <c r="K84" i="21"/>
  <c r="G84" i="21"/>
  <c r="C84" i="21"/>
  <c r="AQ83" i="21"/>
  <c r="AM83" i="21"/>
  <c r="AI83" i="21"/>
  <c r="AE83" i="21"/>
  <c r="AA83" i="21"/>
  <c r="W83" i="21"/>
  <c r="S83" i="21"/>
  <c r="O83" i="21"/>
  <c r="K83" i="21"/>
  <c r="G83" i="21"/>
  <c r="C83" i="21"/>
  <c r="AQ82" i="21"/>
  <c r="AM82" i="21"/>
  <c r="AI82" i="21"/>
  <c r="AE82" i="21"/>
  <c r="AA82" i="21"/>
  <c r="W82" i="21"/>
  <c r="S82" i="21"/>
  <c r="O82" i="21"/>
  <c r="K82" i="21"/>
  <c r="G82" i="21"/>
  <c r="C82" i="21"/>
  <c r="AQ81" i="21"/>
  <c r="AM81" i="21"/>
  <c r="AI81" i="21"/>
  <c r="AE81" i="21"/>
  <c r="AA81" i="21"/>
  <c r="W81" i="21"/>
  <c r="S81" i="21"/>
  <c r="O81" i="21"/>
  <c r="K81" i="21"/>
  <c r="G81" i="21"/>
  <c r="C81" i="21"/>
  <c r="AQ80" i="21"/>
  <c r="AM80" i="21"/>
  <c r="AI80" i="21"/>
  <c r="AE80" i="21"/>
  <c r="AA80" i="21"/>
  <c r="W80" i="21"/>
  <c r="S80" i="21"/>
  <c r="O80" i="21"/>
  <c r="K80" i="21"/>
  <c r="G80" i="21"/>
  <c r="C80" i="21"/>
  <c r="AQ79" i="21"/>
  <c r="AM79" i="21"/>
  <c r="AI79" i="21"/>
  <c r="AE79" i="21"/>
  <c r="AA79" i="21"/>
  <c r="W79" i="21"/>
  <c r="S79" i="21"/>
  <c r="O79" i="21"/>
  <c r="K79" i="21"/>
  <c r="G79" i="21"/>
  <c r="C79" i="21"/>
  <c r="AQ78" i="21"/>
  <c r="AM78" i="21"/>
  <c r="AI78" i="21"/>
  <c r="AE78" i="21"/>
  <c r="AA78" i="21"/>
  <c r="W78" i="21"/>
  <c r="S78" i="21"/>
  <c r="O78" i="21"/>
  <c r="K78" i="21"/>
  <c r="G78" i="21"/>
  <c r="C78" i="21"/>
  <c r="AQ77" i="21"/>
  <c r="AM77" i="21"/>
  <c r="AI77" i="21"/>
  <c r="AE77" i="21"/>
  <c r="AA77" i="21"/>
  <c r="W77" i="21"/>
  <c r="S77" i="21"/>
  <c r="O77" i="21"/>
  <c r="K77" i="21"/>
  <c r="G77" i="21"/>
  <c r="C77" i="21"/>
  <c r="AQ76" i="21"/>
  <c r="AM76" i="21"/>
  <c r="AI76" i="21"/>
  <c r="AE76" i="21"/>
  <c r="AA76" i="21"/>
  <c r="W76" i="21"/>
  <c r="S76" i="21"/>
  <c r="O76" i="21"/>
  <c r="K76" i="21"/>
  <c r="G76" i="21"/>
  <c r="C76" i="21"/>
  <c r="AQ75" i="21"/>
  <c r="AM75" i="21"/>
  <c r="AI75" i="21"/>
  <c r="AE75" i="21"/>
  <c r="AA75" i="21"/>
  <c r="W75" i="21"/>
  <c r="S75" i="21"/>
  <c r="O75" i="21"/>
  <c r="K75" i="21"/>
  <c r="G75" i="21"/>
  <c r="C75" i="21"/>
  <c r="AQ74" i="21"/>
  <c r="AM74" i="21"/>
  <c r="AI74" i="21"/>
  <c r="AE74" i="21"/>
  <c r="AA74" i="21"/>
  <c r="W74" i="21"/>
  <c r="S74" i="21"/>
  <c r="O74" i="21"/>
  <c r="K74" i="21"/>
  <c r="G74" i="21"/>
  <c r="C74" i="21"/>
  <c r="AQ73" i="21"/>
  <c r="AM73" i="21"/>
  <c r="AI73" i="21"/>
  <c r="AE73" i="21"/>
  <c r="AA73" i="21"/>
  <c r="W73" i="21"/>
  <c r="S73" i="21"/>
  <c r="O73" i="21"/>
  <c r="K73" i="21"/>
  <c r="G73" i="21"/>
  <c r="C73" i="21"/>
  <c r="AQ72" i="21"/>
  <c r="AM72" i="21"/>
  <c r="AI72" i="21"/>
  <c r="AE72" i="21"/>
  <c r="AA72" i="21"/>
  <c r="W72" i="21"/>
  <c r="S72" i="21"/>
  <c r="O72" i="21"/>
  <c r="K72" i="21"/>
  <c r="G72" i="21"/>
  <c r="C72" i="21"/>
  <c r="AQ71" i="21"/>
  <c r="AM71" i="21"/>
  <c r="AI71" i="21"/>
  <c r="AE71" i="21"/>
  <c r="AA71" i="21"/>
  <c r="W71" i="21"/>
  <c r="S71" i="21"/>
  <c r="O71" i="21"/>
  <c r="K71" i="21"/>
  <c r="G71" i="21"/>
  <c r="C71" i="21"/>
  <c r="AQ70" i="21"/>
  <c r="AM70" i="21"/>
  <c r="AI70" i="21"/>
  <c r="AE70" i="21"/>
  <c r="AA70" i="21"/>
  <c r="W70" i="21"/>
  <c r="S70" i="21"/>
  <c r="O70" i="21"/>
  <c r="K70" i="21"/>
  <c r="G70" i="21"/>
  <c r="C70" i="21"/>
  <c r="AQ69" i="21"/>
  <c r="AM69" i="21"/>
  <c r="AI69" i="21"/>
  <c r="AE69" i="21"/>
  <c r="AA69" i="21"/>
  <c r="W69" i="21"/>
  <c r="S69" i="21"/>
  <c r="O69" i="21"/>
  <c r="K69" i="21"/>
  <c r="G69" i="21"/>
  <c r="C69" i="21"/>
  <c r="AQ68" i="21"/>
  <c r="AM68" i="21"/>
  <c r="AI68" i="21"/>
  <c r="AE68" i="21"/>
  <c r="AA68" i="21"/>
  <c r="W68" i="21"/>
  <c r="S68" i="21"/>
  <c r="O68" i="21"/>
  <c r="K68" i="21"/>
  <c r="G68" i="21"/>
  <c r="C68" i="21"/>
  <c r="AQ67" i="21"/>
  <c r="AM67" i="21"/>
  <c r="AI67" i="21"/>
  <c r="AE67" i="21"/>
  <c r="AA67" i="21"/>
  <c r="W67" i="21"/>
  <c r="S67" i="21"/>
  <c r="O67" i="21"/>
  <c r="K67" i="21"/>
  <c r="G67" i="21"/>
  <c r="C67" i="21"/>
  <c r="AQ66" i="21"/>
  <c r="AM66" i="21"/>
  <c r="AI66" i="21"/>
  <c r="AE66" i="21"/>
  <c r="AA66" i="21"/>
  <c r="W66" i="21"/>
  <c r="S66" i="21"/>
  <c r="O66" i="21"/>
  <c r="K66" i="21"/>
  <c r="G66" i="21"/>
  <c r="C66" i="21"/>
  <c r="AQ65" i="21"/>
  <c r="AM65" i="21"/>
  <c r="AI65" i="21"/>
  <c r="AE65" i="21"/>
  <c r="AA65" i="21"/>
  <c r="W65" i="21"/>
  <c r="S65" i="21"/>
  <c r="O65" i="21"/>
  <c r="K65" i="21"/>
  <c r="G65" i="21"/>
  <c r="C65" i="21"/>
  <c r="AQ64" i="21"/>
  <c r="AM64" i="21"/>
  <c r="AI64" i="21"/>
  <c r="AE64" i="21"/>
  <c r="AA64" i="21"/>
  <c r="W64" i="21"/>
  <c r="S64" i="21"/>
  <c r="O64" i="21"/>
  <c r="K64" i="21"/>
  <c r="G64" i="21"/>
  <c r="C64" i="21"/>
  <c r="AQ63" i="21"/>
  <c r="AM63" i="21"/>
  <c r="AI63" i="21"/>
  <c r="AE63" i="21"/>
  <c r="AA63" i="21"/>
  <c r="W63" i="21"/>
  <c r="S63" i="21"/>
  <c r="O63" i="21"/>
  <c r="K63" i="21"/>
  <c r="G63" i="21"/>
  <c r="C63" i="21"/>
  <c r="AQ62" i="21"/>
  <c r="AM62" i="21"/>
  <c r="AI62" i="21"/>
  <c r="AE62" i="21"/>
  <c r="AA62" i="21"/>
  <c r="W62" i="21"/>
  <c r="S62" i="21"/>
  <c r="O62" i="21"/>
  <c r="K62" i="21"/>
  <c r="G62" i="21"/>
  <c r="C62" i="21"/>
  <c r="AQ61" i="21"/>
  <c r="AM61" i="21"/>
  <c r="AI61" i="21"/>
  <c r="AE61" i="21"/>
  <c r="AA61" i="21"/>
  <c r="W61" i="21"/>
  <c r="S61" i="21"/>
  <c r="O61" i="21"/>
  <c r="K61" i="21"/>
  <c r="G61" i="21"/>
  <c r="C61" i="21"/>
  <c r="AQ60" i="21"/>
  <c r="AM60" i="21"/>
  <c r="AI60" i="21"/>
  <c r="AE60" i="21"/>
  <c r="AA60" i="21"/>
  <c r="W60" i="21"/>
  <c r="S60" i="21"/>
  <c r="O60" i="21"/>
  <c r="K60" i="21"/>
  <c r="G60" i="21"/>
  <c r="C60" i="21"/>
  <c r="AQ59" i="21"/>
  <c r="AM59" i="21"/>
  <c r="AI59" i="21"/>
  <c r="AE59" i="21"/>
  <c r="AA59" i="21"/>
  <c r="W59" i="21"/>
  <c r="S59" i="21"/>
  <c r="O59" i="21"/>
  <c r="K59" i="21"/>
  <c r="G59" i="21"/>
  <c r="C59" i="21"/>
  <c r="AQ58" i="21"/>
  <c r="AM58" i="21"/>
  <c r="AI58" i="21"/>
  <c r="AE58" i="21"/>
  <c r="AA58" i="21"/>
  <c r="W58" i="21"/>
  <c r="S58" i="21"/>
  <c r="O58" i="21"/>
  <c r="K58" i="21"/>
  <c r="G58" i="21"/>
  <c r="C58" i="21"/>
  <c r="AQ57" i="21"/>
  <c r="AM57" i="21"/>
  <c r="AI57" i="21"/>
  <c r="AE57" i="21"/>
  <c r="AA57" i="21"/>
  <c r="W57" i="21"/>
  <c r="S57" i="21"/>
  <c r="O57" i="21"/>
  <c r="K57" i="21"/>
  <c r="G57" i="21"/>
  <c r="C57" i="21"/>
  <c r="AQ56" i="21"/>
  <c r="AM56" i="21"/>
  <c r="AI56" i="21"/>
  <c r="AE56" i="21"/>
  <c r="AA56" i="21"/>
  <c r="W56" i="21"/>
  <c r="S56" i="21"/>
  <c r="O56" i="21"/>
  <c r="K56" i="21"/>
  <c r="G56" i="21"/>
  <c r="C56" i="21"/>
  <c r="AQ55" i="21"/>
  <c r="AM55" i="21"/>
  <c r="AI55" i="21"/>
  <c r="AE55" i="21"/>
  <c r="AA55" i="21"/>
  <c r="W55" i="21"/>
  <c r="S55" i="21"/>
  <c r="O55" i="21"/>
  <c r="K55" i="21"/>
  <c r="G55" i="21"/>
  <c r="C55" i="21"/>
  <c r="AQ54" i="21"/>
  <c r="AM54" i="21"/>
  <c r="AI54" i="21"/>
  <c r="AA54" i="21"/>
  <c r="S54" i="21"/>
  <c r="O54" i="21"/>
  <c r="K54" i="21"/>
  <c r="G54" i="21"/>
  <c r="C54" i="21"/>
  <c r="AQ53" i="21"/>
  <c r="AM53" i="21"/>
  <c r="AI53" i="21"/>
  <c r="AA53" i="21"/>
  <c r="S53" i="21"/>
  <c r="O53" i="21"/>
  <c r="K53" i="21"/>
  <c r="G53" i="21"/>
  <c r="C53" i="21"/>
  <c r="AQ52" i="21"/>
  <c r="AM52" i="21"/>
  <c r="AI52" i="21"/>
  <c r="AE52" i="21"/>
  <c r="AA52" i="21"/>
  <c r="W52" i="21"/>
  <c r="S52" i="21"/>
  <c r="O52" i="21"/>
  <c r="K52" i="21"/>
  <c r="G52" i="21"/>
  <c r="C52" i="21"/>
  <c r="AQ51" i="21"/>
  <c r="AM51" i="21"/>
  <c r="AI51" i="21"/>
  <c r="AE51" i="21"/>
  <c r="AA51" i="21"/>
  <c r="W51" i="21"/>
  <c r="S51" i="21"/>
  <c r="O51" i="21"/>
  <c r="K51" i="21"/>
  <c r="G51" i="21"/>
  <c r="C51" i="21"/>
  <c r="AQ50" i="21"/>
  <c r="AM50" i="21"/>
  <c r="AI50" i="21"/>
  <c r="AE50" i="21"/>
  <c r="AA50" i="21"/>
  <c r="W50" i="21"/>
  <c r="S50" i="21"/>
  <c r="O50" i="21"/>
  <c r="K50" i="21"/>
  <c r="G50" i="21"/>
  <c r="C50" i="21"/>
  <c r="AQ49" i="21"/>
  <c r="AM49" i="21"/>
  <c r="AI49" i="21"/>
  <c r="AE49" i="21"/>
  <c r="AA49" i="21"/>
  <c r="W49" i="21"/>
  <c r="S49" i="21"/>
  <c r="O49" i="21"/>
  <c r="K49" i="21"/>
  <c r="G49" i="21"/>
  <c r="C49" i="21"/>
  <c r="AQ48" i="21"/>
  <c r="AM48" i="21"/>
  <c r="AI48" i="21"/>
  <c r="AE48" i="21"/>
  <c r="AA48" i="21"/>
  <c r="W48" i="21"/>
  <c r="S48" i="21"/>
  <c r="O48" i="21"/>
  <c r="K48" i="21"/>
  <c r="G48" i="21"/>
  <c r="C48" i="21"/>
  <c r="AQ47" i="21"/>
  <c r="AM47" i="21"/>
  <c r="AI47" i="21"/>
  <c r="AE47" i="21"/>
  <c r="AA47" i="21"/>
  <c r="W47" i="21"/>
  <c r="S47" i="21"/>
  <c r="O47" i="21"/>
  <c r="K47" i="21"/>
  <c r="G47" i="21"/>
  <c r="C47" i="21"/>
  <c r="AQ46" i="21"/>
  <c r="AM46" i="21"/>
  <c r="AI46" i="21"/>
  <c r="AE46" i="21"/>
  <c r="AA46" i="21"/>
  <c r="W46" i="21"/>
  <c r="S46" i="21"/>
  <c r="O46" i="21"/>
  <c r="K46" i="21"/>
  <c r="G46" i="21"/>
  <c r="C46" i="21"/>
  <c r="AQ45" i="21"/>
  <c r="AM45" i="21"/>
  <c r="AI45" i="21"/>
  <c r="AE45" i="21"/>
  <c r="AA45" i="21"/>
  <c r="W45" i="21"/>
  <c r="S45" i="21"/>
  <c r="O45" i="21"/>
  <c r="K45" i="21"/>
  <c r="G45" i="21"/>
  <c r="C45" i="21"/>
  <c r="AQ44" i="21"/>
  <c r="AM44" i="21"/>
  <c r="AI44" i="21"/>
  <c r="AE44" i="21"/>
  <c r="AA44" i="21"/>
  <c r="W44" i="21"/>
  <c r="S44" i="21"/>
  <c r="O44" i="21"/>
  <c r="K44" i="21"/>
  <c r="G44" i="21"/>
  <c r="C44" i="21"/>
  <c r="AQ43" i="21"/>
  <c r="AM43" i="21"/>
  <c r="AI43" i="21"/>
  <c r="AE43" i="21"/>
  <c r="AA43" i="21"/>
  <c r="W43" i="21"/>
  <c r="S43" i="21"/>
  <c r="O43" i="21"/>
  <c r="K43" i="21"/>
  <c r="G43" i="21"/>
  <c r="C43" i="21"/>
  <c r="AQ42" i="21"/>
  <c r="AM42" i="21"/>
  <c r="AI42" i="21"/>
  <c r="AE42" i="21"/>
  <c r="AA42" i="21"/>
  <c r="W42" i="21"/>
  <c r="S42" i="21"/>
  <c r="O42" i="21"/>
  <c r="K42" i="21"/>
  <c r="G42" i="21"/>
  <c r="C42" i="21"/>
  <c r="AQ41" i="21"/>
  <c r="AM41" i="21"/>
  <c r="AI41" i="21"/>
  <c r="AE41" i="21"/>
  <c r="AA41" i="21"/>
  <c r="W41" i="21"/>
  <c r="S41" i="21"/>
  <c r="O41" i="21"/>
  <c r="K41" i="21"/>
  <c r="G41" i="21"/>
  <c r="C41" i="21"/>
  <c r="AQ40" i="21"/>
  <c r="AM40" i="21"/>
  <c r="AI40" i="21"/>
  <c r="AE40" i="21"/>
  <c r="AA40" i="21"/>
  <c r="W40" i="21"/>
  <c r="S40" i="21"/>
  <c r="O40" i="21"/>
  <c r="K40" i="21"/>
  <c r="G40" i="21"/>
  <c r="C40" i="21"/>
  <c r="AQ39" i="21"/>
  <c r="AM39" i="21"/>
  <c r="AI39" i="21"/>
  <c r="AE39" i="21"/>
  <c r="AA39" i="21"/>
  <c r="W39" i="21"/>
  <c r="S39" i="21"/>
  <c r="O39" i="21"/>
  <c r="K39" i="21"/>
  <c r="G39" i="21"/>
  <c r="C39" i="21"/>
  <c r="AQ38" i="21"/>
  <c r="AM38" i="21"/>
  <c r="AI38" i="21"/>
  <c r="AE38" i="21"/>
  <c r="AA38" i="21"/>
  <c r="W38" i="21"/>
  <c r="S38" i="21"/>
  <c r="O38" i="21"/>
  <c r="K38" i="21"/>
  <c r="G38" i="21"/>
  <c r="C38" i="21"/>
  <c r="AQ37" i="21"/>
  <c r="AM37" i="21"/>
  <c r="AI37" i="21"/>
  <c r="AE37" i="21"/>
  <c r="AA37" i="21"/>
  <c r="W37" i="21"/>
  <c r="S37" i="21"/>
  <c r="O37" i="21"/>
  <c r="K37" i="21"/>
  <c r="G37" i="21"/>
  <c r="C37" i="21"/>
  <c r="AQ36" i="21"/>
  <c r="AM36" i="21"/>
  <c r="AI36" i="21"/>
  <c r="AE36" i="21"/>
  <c r="AA36" i="21"/>
  <c r="W36" i="21"/>
  <c r="S36" i="21"/>
  <c r="O36" i="21"/>
  <c r="K36" i="21"/>
  <c r="G36" i="21"/>
  <c r="C36" i="21"/>
  <c r="AQ35" i="21"/>
  <c r="AM35" i="21"/>
  <c r="AI35" i="21"/>
  <c r="AE35" i="21"/>
  <c r="AA35" i="21"/>
  <c r="W35" i="21"/>
  <c r="S35" i="21"/>
  <c r="O35" i="21"/>
  <c r="K35" i="21"/>
  <c r="G35" i="21"/>
  <c r="C35" i="21"/>
  <c r="AQ34" i="21"/>
  <c r="AM34" i="21"/>
  <c r="AI34" i="21"/>
  <c r="AE34" i="21"/>
  <c r="AA34" i="21"/>
  <c r="W34" i="21"/>
  <c r="S34" i="21"/>
  <c r="O34" i="21"/>
  <c r="K34" i="21"/>
  <c r="G34" i="21"/>
  <c r="C34" i="21"/>
  <c r="AQ33" i="21"/>
  <c r="AM33" i="21"/>
  <c r="AI33" i="21"/>
  <c r="AE33" i="21"/>
  <c r="AA33" i="21"/>
  <c r="W33" i="21"/>
  <c r="S33" i="21"/>
  <c r="O33" i="21"/>
  <c r="K33" i="21"/>
  <c r="G33" i="21"/>
  <c r="C33" i="21"/>
  <c r="AQ32" i="21"/>
  <c r="AM32" i="21"/>
  <c r="AI32" i="21"/>
  <c r="AE32" i="21"/>
  <c r="AA32" i="21"/>
  <c r="W32" i="21"/>
  <c r="S32" i="21"/>
  <c r="O32" i="21"/>
  <c r="K32" i="21"/>
  <c r="G32" i="21"/>
  <c r="C32" i="21"/>
  <c r="AQ31" i="21"/>
  <c r="AM31" i="21"/>
  <c r="AI31" i="21"/>
  <c r="AE31" i="21"/>
  <c r="AA31" i="21"/>
  <c r="W31" i="21"/>
  <c r="S31" i="21"/>
  <c r="O31" i="21"/>
  <c r="K31" i="21"/>
  <c r="G31" i="21"/>
  <c r="C31" i="21"/>
  <c r="AQ30" i="21"/>
  <c r="AM30" i="21"/>
  <c r="AI30" i="21"/>
  <c r="AE30" i="21"/>
  <c r="AA30" i="21"/>
  <c r="W30" i="21"/>
  <c r="S30" i="21"/>
  <c r="O30" i="21"/>
  <c r="K30" i="21"/>
  <c r="G30" i="21"/>
  <c r="C30" i="21"/>
  <c r="AQ29" i="21"/>
  <c r="AM29" i="21"/>
  <c r="AI29" i="21"/>
  <c r="AE29" i="21"/>
  <c r="AA29" i="21"/>
  <c r="W29" i="21"/>
  <c r="S29" i="21"/>
  <c r="O29" i="21"/>
  <c r="K29" i="21"/>
  <c r="G29" i="21"/>
  <c r="C29" i="21"/>
  <c r="AQ28" i="21"/>
  <c r="AM28" i="21"/>
  <c r="AI28" i="21"/>
  <c r="AE28" i="21"/>
  <c r="AA28" i="21"/>
  <c r="W28" i="21"/>
  <c r="S28" i="21"/>
  <c r="O28" i="21"/>
  <c r="K28" i="21"/>
  <c r="G28" i="21"/>
  <c r="C28" i="21"/>
  <c r="AQ27" i="21"/>
  <c r="AM27" i="21"/>
  <c r="AI27" i="21"/>
  <c r="AE27" i="21"/>
  <c r="AA27" i="21"/>
  <c r="W27" i="21"/>
  <c r="S27" i="21"/>
  <c r="O27" i="21"/>
  <c r="K27" i="21"/>
  <c r="G27" i="21"/>
  <c r="C27" i="21"/>
  <c r="AQ26" i="21"/>
  <c r="AM26" i="21"/>
  <c r="AI26" i="21"/>
  <c r="AE26" i="21"/>
  <c r="AA26" i="21"/>
  <c r="W26" i="21"/>
  <c r="S26" i="21"/>
  <c r="O26" i="21"/>
  <c r="K26" i="21"/>
  <c r="G26" i="21"/>
  <c r="C26" i="21"/>
  <c r="AQ25" i="21"/>
  <c r="AM25" i="21"/>
  <c r="AI25" i="21"/>
  <c r="AE25" i="21"/>
  <c r="AA25" i="21"/>
  <c r="W25" i="21"/>
  <c r="S25" i="21"/>
  <c r="O25" i="21"/>
  <c r="K25" i="21"/>
  <c r="G25" i="21"/>
  <c r="C25" i="21"/>
  <c r="AQ24" i="21"/>
  <c r="AM24" i="21"/>
  <c r="AI24" i="21"/>
  <c r="AE24" i="21"/>
  <c r="AA24" i="21"/>
  <c r="W24" i="21"/>
  <c r="S24" i="21"/>
  <c r="O24" i="21"/>
  <c r="K24" i="21"/>
  <c r="G24" i="21"/>
  <c r="C24" i="21"/>
  <c r="AQ23" i="21"/>
  <c r="AM23" i="21"/>
  <c r="AI23" i="21"/>
  <c r="AA23" i="21"/>
  <c r="S23" i="21"/>
  <c r="O23" i="21"/>
  <c r="K23" i="21"/>
  <c r="G23" i="21"/>
  <c r="C23" i="21"/>
  <c r="AQ22" i="21"/>
  <c r="AM22" i="21"/>
  <c r="AI22" i="21"/>
  <c r="AA22" i="21"/>
  <c r="S22" i="21"/>
  <c r="O22" i="21"/>
  <c r="K22" i="21"/>
  <c r="G22" i="21"/>
  <c r="C22" i="21"/>
  <c r="AQ21" i="21"/>
  <c r="AM21" i="21"/>
  <c r="AI21" i="21"/>
  <c r="AA21" i="21"/>
  <c r="S21" i="21"/>
  <c r="O21" i="21"/>
  <c r="K21" i="21"/>
  <c r="G21" i="21"/>
  <c r="C21" i="21"/>
  <c r="AQ20" i="21"/>
  <c r="AM20" i="21"/>
  <c r="AI20" i="21"/>
  <c r="AE20" i="21"/>
  <c r="AA20" i="21"/>
  <c r="W20" i="21"/>
  <c r="S20" i="21"/>
  <c r="O20" i="21"/>
  <c r="K20" i="21"/>
  <c r="G20" i="21"/>
  <c r="C20" i="21"/>
  <c r="AQ19" i="21"/>
  <c r="AM19" i="21"/>
  <c r="AI19" i="21"/>
  <c r="AE19" i="21"/>
  <c r="AA19" i="21"/>
  <c r="W19" i="21"/>
  <c r="S19" i="21"/>
  <c r="O19" i="21"/>
  <c r="K19" i="21"/>
  <c r="G19" i="21"/>
  <c r="C19" i="21"/>
  <c r="AQ18" i="21"/>
  <c r="AM18" i="21"/>
  <c r="AI18" i="21"/>
  <c r="AE18" i="21"/>
  <c r="AA18" i="21"/>
  <c r="W18" i="21"/>
  <c r="S18" i="21"/>
  <c r="O18" i="21"/>
  <c r="K18" i="21"/>
  <c r="G18" i="21"/>
  <c r="C18" i="21"/>
  <c r="AQ17" i="21"/>
  <c r="AM17" i="21"/>
  <c r="AI17" i="21"/>
  <c r="AE17" i="21"/>
  <c r="AA17" i="21"/>
  <c r="W17" i="21"/>
  <c r="S17" i="21"/>
  <c r="O17" i="21"/>
  <c r="K17" i="21"/>
  <c r="G17" i="21"/>
  <c r="C17" i="21"/>
  <c r="AQ16" i="21"/>
  <c r="AM16" i="21"/>
  <c r="AI16" i="21"/>
  <c r="AE16" i="21"/>
  <c r="AA16" i="21"/>
  <c r="W16" i="21"/>
  <c r="S16" i="21"/>
  <c r="O16" i="21"/>
  <c r="K16" i="21"/>
  <c r="G16" i="21"/>
  <c r="C16" i="21"/>
  <c r="AQ15" i="21"/>
  <c r="AM15" i="21"/>
  <c r="AI15" i="21"/>
  <c r="AE15" i="21"/>
  <c r="AA15" i="21"/>
  <c r="W15" i="21"/>
  <c r="S15" i="21"/>
  <c r="O15" i="21"/>
  <c r="K15" i="21"/>
  <c r="G15" i="21"/>
  <c r="C15" i="21"/>
  <c r="AQ14" i="21"/>
  <c r="AM14" i="21"/>
  <c r="AI14" i="21"/>
  <c r="AE14" i="21"/>
  <c r="AA14" i="21"/>
  <c r="W14" i="21"/>
  <c r="S14" i="21"/>
  <c r="O14" i="21"/>
  <c r="K14" i="21"/>
  <c r="G14" i="21"/>
  <c r="C14" i="21"/>
  <c r="AQ13" i="21"/>
  <c r="AM13" i="21"/>
  <c r="AI13" i="21"/>
  <c r="AE13" i="21"/>
  <c r="AA13" i="21"/>
  <c r="W13" i="21"/>
  <c r="S13" i="21"/>
  <c r="O13" i="21"/>
  <c r="K13" i="21"/>
  <c r="G13" i="21"/>
  <c r="C13" i="21"/>
  <c r="AQ12" i="21"/>
  <c r="AM12" i="21"/>
  <c r="AI12" i="21"/>
  <c r="AE12" i="21"/>
  <c r="AA12" i="21"/>
  <c r="W12" i="21"/>
  <c r="S12" i="21"/>
  <c r="O12" i="21"/>
  <c r="K12" i="21"/>
  <c r="G12" i="21"/>
  <c r="C12" i="21"/>
  <c r="AQ11" i="21"/>
  <c r="AM11" i="21"/>
  <c r="AI11" i="21"/>
  <c r="AE11" i="21"/>
  <c r="AA11" i="21"/>
  <c r="W11" i="21"/>
  <c r="S11" i="21"/>
  <c r="O11" i="21"/>
  <c r="K11" i="21"/>
  <c r="G11" i="21"/>
  <c r="C11" i="21"/>
  <c r="AQ10" i="21"/>
  <c r="AM10" i="21"/>
  <c r="AI10" i="21"/>
  <c r="AE10" i="21"/>
  <c r="AA10" i="21"/>
  <c r="W10" i="21"/>
  <c r="S10" i="21"/>
  <c r="O10" i="21"/>
  <c r="K10" i="21"/>
  <c r="G10" i="21"/>
  <c r="C10" i="21"/>
  <c r="AQ9" i="21"/>
  <c r="AM9" i="21"/>
  <c r="AI9" i="21"/>
  <c r="AE9" i="21"/>
  <c r="AA9" i="21"/>
  <c r="W9" i="21"/>
  <c r="S9" i="21"/>
  <c r="O9" i="21"/>
  <c r="K9" i="21"/>
  <c r="G9" i="21"/>
  <c r="C9" i="21"/>
  <c r="AQ8" i="21"/>
  <c r="AM8" i="21"/>
  <c r="AI8" i="21"/>
  <c r="AE8" i="21"/>
  <c r="AA8" i="21"/>
  <c r="W8" i="21"/>
  <c r="S8" i="21"/>
  <c r="O8" i="21"/>
  <c r="K8" i="21"/>
  <c r="G8" i="21"/>
  <c r="C8" i="21"/>
  <c r="AQ7" i="21"/>
  <c r="AM7" i="21"/>
  <c r="AI7" i="21"/>
  <c r="AE7" i="21"/>
  <c r="AA7" i="21"/>
  <c r="W7" i="21"/>
  <c r="S7" i="21"/>
  <c r="O7" i="21"/>
  <c r="K7" i="21"/>
  <c r="G7" i="21"/>
  <c r="C7" i="21"/>
  <c r="AQ6" i="21"/>
  <c r="AM6" i="21"/>
  <c r="AI6" i="21"/>
  <c r="AE6" i="21"/>
  <c r="AA6" i="21"/>
  <c r="W6" i="21"/>
  <c r="S6" i="21"/>
  <c r="O6" i="21"/>
  <c r="K6" i="21"/>
  <c r="G6" i="21"/>
  <c r="C6" i="21"/>
  <c r="AQ5" i="21"/>
  <c r="AM5" i="21"/>
  <c r="AI5" i="21"/>
  <c r="AE5" i="21"/>
  <c r="AA5" i="21"/>
  <c r="W5" i="21"/>
  <c r="S5" i="21"/>
  <c r="O5" i="21"/>
  <c r="K5" i="21"/>
  <c r="G5" i="21"/>
  <c r="C5" i="21"/>
  <c r="I27" i="1"/>
  <c r="C66" i="15"/>
  <c r="C68" i="15" s="1"/>
  <c r="G64" i="15"/>
  <c r="F65" i="15" s="1"/>
  <c r="C64" i="15"/>
  <c r="D65" i="15" s="1"/>
  <c r="F63" i="15"/>
  <c r="D63" i="15"/>
  <c r="F62" i="15"/>
  <c r="D62" i="15"/>
  <c r="F61" i="15"/>
  <c r="D61" i="15"/>
  <c r="F60" i="15"/>
  <c r="D60" i="15"/>
  <c r="F59" i="15"/>
  <c r="D59" i="15"/>
  <c r="F58" i="15"/>
  <c r="D58" i="15"/>
  <c r="F57" i="15"/>
  <c r="D57" i="15"/>
  <c r="F56" i="15"/>
  <c r="D56" i="15"/>
  <c r="F55" i="15"/>
  <c r="D55" i="15"/>
  <c r="F54" i="15"/>
  <c r="D54" i="15"/>
  <c r="F53" i="15"/>
  <c r="D53" i="15"/>
  <c r="F52" i="15"/>
  <c r="D52" i="15"/>
  <c r="F51" i="15"/>
  <c r="D51" i="15"/>
  <c r="F50" i="15"/>
  <c r="D50" i="15"/>
  <c r="F49" i="15"/>
  <c r="D49" i="15"/>
  <c r="F48" i="15"/>
  <c r="D48" i="15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35" i="15"/>
  <c r="D35" i="15"/>
  <c r="F34" i="15"/>
  <c r="D34" i="15"/>
  <c r="F33" i="15"/>
  <c r="D33" i="15"/>
  <c r="F32" i="15"/>
  <c r="D32" i="15"/>
  <c r="F31" i="15"/>
  <c r="D31" i="15"/>
  <c r="F30" i="15"/>
  <c r="D30" i="15"/>
  <c r="F29" i="15"/>
  <c r="D29" i="15"/>
  <c r="F28" i="15"/>
  <c r="D28" i="15"/>
  <c r="F27" i="15"/>
  <c r="D27" i="15"/>
  <c r="F26" i="15"/>
  <c r="D26" i="15"/>
  <c r="F25" i="15"/>
  <c r="D25" i="15"/>
  <c r="F24" i="15"/>
  <c r="D24" i="15"/>
  <c r="F23" i="15"/>
  <c r="D23" i="15"/>
  <c r="F22" i="15"/>
  <c r="D22" i="15"/>
  <c r="F21" i="15"/>
  <c r="D21" i="15"/>
  <c r="F20" i="15"/>
  <c r="D20" i="15"/>
  <c r="F19" i="15"/>
  <c r="D19" i="15"/>
  <c r="F18" i="15"/>
  <c r="D18" i="15"/>
  <c r="F17" i="15"/>
  <c r="D17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F4" i="15"/>
  <c r="D4" i="15"/>
  <c r="D68" i="15" l="1"/>
  <c r="C70" i="15"/>
  <c r="D69" i="15"/>
  <c r="D66" i="15"/>
  <c r="D64" i="15"/>
  <c r="G66" i="15"/>
  <c r="F64" i="15"/>
  <c r="D67" i="15"/>
  <c r="D20" i="13"/>
  <c r="B20" i="13"/>
  <c r="H19" i="13"/>
  <c r="F19" i="13"/>
  <c r="D18" i="13"/>
  <c r="B18" i="13"/>
  <c r="H17" i="13"/>
  <c r="F17" i="13"/>
  <c r="D16" i="13"/>
  <c r="B16" i="13"/>
  <c r="H15" i="13"/>
  <c r="F15" i="13"/>
  <c r="D14" i="13"/>
  <c r="B14" i="13"/>
  <c r="H13" i="13"/>
  <c r="F13" i="13"/>
  <c r="D12" i="13"/>
  <c r="B12" i="13"/>
  <c r="H11" i="13"/>
  <c r="F11" i="13"/>
  <c r="D10" i="13"/>
  <c r="B10" i="13"/>
  <c r="H9" i="13"/>
  <c r="F9" i="13"/>
  <c r="D8" i="13"/>
  <c r="B8" i="13"/>
  <c r="H7" i="13"/>
  <c r="F7" i="13"/>
  <c r="D6" i="13"/>
  <c r="B6" i="13"/>
  <c r="E26" i="12"/>
  <c r="E25" i="12"/>
  <c r="E23" i="12"/>
  <c r="E21" i="12"/>
  <c r="E19" i="12"/>
  <c r="E17" i="12"/>
  <c r="C20" i="12"/>
  <c r="C22" i="12" s="1"/>
  <c r="C24" i="12" s="1"/>
  <c r="E24" i="12" s="1"/>
  <c r="E18" i="12"/>
  <c r="C18" i="12"/>
  <c r="E16" i="12"/>
  <c r="C16" i="12"/>
  <c r="F67" i="15" l="1"/>
  <c r="F66" i="15"/>
  <c r="G68" i="15"/>
  <c r="D70" i="15"/>
  <c r="D71" i="15"/>
  <c r="C72" i="15"/>
  <c r="E20" i="12"/>
  <c r="E22" i="12"/>
  <c r="D73" i="15" l="1"/>
  <c r="C74" i="15"/>
  <c r="D72" i="15"/>
  <c r="G70" i="15"/>
  <c r="F69" i="15"/>
  <c r="F68" i="15"/>
  <c r="C76" i="15" l="1"/>
  <c r="D75" i="15"/>
  <c r="D74" i="15"/>
  <c r="F70" i="15"/>
  <c r="G72" i="15"/>
  <c r="F71" i="15"/>
  <c r="D83" i="2"/>
  <c r="B83" i="2"/>
  <c r="H82" i="2"/>
  <c r="F82" i="2"/>
  <c r="D81" i="2"/>
  <c r="B81" i="2"/>
  <c r="L80" i="2"/>
  <c r="J80" i="2"/>
  <c r="D79" i="2"/>
  <c r="B79" i="2"/>
  <c r="H78" i="2"/>
  <c r="F78" i="2"/>
  <c r="D77" i="2"/>
  <c r="B77" i="2"/>
  <c r="P76" i="2"/>
  <c r="N76" i="2"/>
  <c r="D75" i="2"/>
  <c r="B75" i="2"/>
  <c r="H74" i="2"/>
  <c r="F74" i="2"/>
  <c r="D73" i="2"/>
  <c r="B73" i="2"/>
  <c r="L72" i="2"/>
  <c r="J72" i="2"/>
  <c r="D71" i="2"/>
  <c r="B71" i="2"/>
  <c r="H70" i="2"/>
  <c r="F70" i="2"/>
  <c r="D69" i="2"/>
  <c r="B69" i="2"/>
  <c r="P68" i="2"/>
  <c r="N68" i="2"/>
  <c r="D67" i="2"/>
  <c r="B67" i="2"/>
  <c r="H66" i="2"/>
  <c r="F66" i="2"/>
  <c r="D65" i="2"/>
  <c r="B65" i="2"/>
  <c r="L64" i="2"/>
  <c r="J64" i="2"/>
  <c r="D63" i="2"/>
  <c r="B63" i="2"/>
  <c r="H62" i="2"/>
  <c r="F62" i="2"/>
  <c r="D61" i="2"/>
  <c r="B61" i="2"/>
  <c r="P60" i="2"/>
  <c r="N60" i="2"/>
  <c r="D59" i="2"/>
  <c r="B59" i="2"/>
  <c r="H58" i="2"/>
  <c r="F58" i="2"/>
  <c r="D57" i="2"/>
  <c r="B57" i="2"/>
  <c r="L56" i="2"/>
  <c r="J56" i="2"/>
  <c r="D55" i="2"/>
  <c r="B55" i="2"/>
  <c r="H54" i="2"/>
  <c r="F54" i="2"/>
  <c r="D53" i="2"/>
  <c r="B53" i="2"/>
  <c r="P52" i="2"/>
  <c r="N52" i="2"/>
  <c r="D51" i="2"/>
  <c r="B51" i="2"/>
  <c r="H50" i="2"/>
  <c r="F50" i="2"/>
  <c r="D49" i="2"/>
  <c r="B49" i="2"/>
  <c r="L48" i="2"/>
  <c r="J48" i="2"/>
  <c r="D47" i="2"/>
  <c r="B47" i="2"/>
  <c r="H46" i="2"/>
  <c r="F46" i="2"/>
  <c r="D45" i="2"/>
  <c r="B45" i="2"/>
  <c r="P44" i="2"/>
  <c r="N44" i="2"/>
  <c r="P36" i="2"/>
  <c r="N36" i="2"/>
  <c r="P28" i="2"/>
  <c r="N28" i="2"/>
  <c r="P20" i="2"/>
  <c r="N20" i="2"/>
  <c r="I16" i="2"/>
  <c r="L16" i="2" s="1"/>
  <c r="P12" i="2"/>
  <c r="N12" i="2"/>
  <c r="E10" i="2"/>
  <c r="F10" i="2" s="1"/>
  <c r="L8" i="2"/>
  <c r="J8" i="2"/>
  <c r="A7" i="2"/>
  <c r="B7" i="2" s="1"/>
  <c r="H6" i="2"/>
  <c r="F6" i="2"/>
  <c r="D5" i="2"/>
  <c r="B5" i="2"/>
  <c r="X312" i="11"/>
  <c r="V312" i="11"/>
  <c r="AC296" i="11"/>
  <c r="AA296" i="11"/>
  <c r="X280" i="11"/>
  <c r="V280" i="11"/>
  <c r="AC264" i="11"/>
  <c r="AA264" i="11"/>
  <c r="X248" i="11"/>
  <c r="V248" i="11"/>
  <c r="AC232" i="11"/>
  <c r="AA232" i="11"/>
  <c r="X216" i="11"/>
  <c r="V216" i="11"/>
  <c r="AC200" i="11"/>
  <c r="AA200" i="11"/>
  <c r="X184" i="11"/>
  <c r="V184" i="11"/>
  <c r="AC168" i="11"/>
  <c r="AA168" i="11"/>
  <c r="X152" i="11"/>
  <c r="V152" i="11"/>
  <c r="AC136" i="11"/>
  <c r="AA136" i="11"/>
  <c r="X120" i="11"/>
  <c r="V120" i="11"/>
  <c r="AC104" i="11"/>
  <c r="AA104" i="11"/>
  <c r="X88" i="11"/>
  <c r="V88" i="11"/>
  <c r="AC72" i="11"/>
  <c r="AA72" i="11"/>
  <c r="U56" i="11"/>
  <c r="V56" i="11" s="1"/>
  <c r="AC40" i="11"/>
  <c r="AA40" i="11"/>
  <c r="Q32" i="11"/>
  <c r="Q48" i="11" s="1"/>
  <c r="X24" i="11"/>
  <c r="V24" i="11"/>
  <c r="N20" i="11"/>
  <c r="M20" i="11"/>
  <c r="P20" i="11" s="1"/>
  <c r="I18" i="11"/>
  <c r="L18" i="11" s="1"/>
  <c r="T16" i="11"/>
  <c r="R16" i="11"/>
  <c r="J14" i="11"/>
  <c r="I14" i="11"/>
  <c r="L14" i="11" s="1"/>
  <c r="P12" i="11"/>
  <c r="N12" i="11"/>
  <c r="E11" i="11"/>
  <c r="H11" i="11" s="1"/>
  <c r="L10" i="11"/>
  <c r="J10" i="11"/>
  <c r="A10" i="11"/>
  <c r="D10" i="11" s="1"/>
  <c r="H9" i="11"/>
  <c r="F9" i="11"/>
  <c r="D9" i="11"/>
  <c r="B9" i="11"/>
  <c r="F73" i="15" l="1"/>
  <c r="F72" i="15"/>
  <c r="G74" i="15"/>
  <c r="D76" i="15"/>
  <c r="C78" i="15"/>
  <c r="D77" i="15"/>
  <c r="I24" i="2"/>
  <c r="J24" i="2" s="1"/>
  <c r="J16" i="2"/>
  <c r="D7" i="2"/>
  <c r="H10" i="2"/>
  <c r="L24" i="2"/>
  <c r="E14" i="2"/>
  <c r="A9" i="2"/>
  <c r="I32" i="2"/>
  <c r="R48" i="11"/>
  <c r="Q64" i="11"/>
  <c r="T48" i="11"/>
  <c r="I22" i="11"/>
  <c r="B10" i="11"/>
  <c r="F11" i="11"/>
  <c r="J18" i="11"/>
  <c r="E13" i="11"/>
  <c r="M28" i="11"/>
  <c r="A11" i="11"/>
  <c r="T32" i="11"/>
  <c r="R32" i="11"/>
  <c r="X56" i="11"/>
  <c r="F75" i="15" l="1"/>
  <c r="F74" i="15"/>
  <c r="G76" i="15"/>
  <c r="D78" i="15"/>
  <c r="C80" i="15"/>
  <c r="D79" i="15"/>
  <c r="E18" i="2"/>
  <c r="F14" i="2"/>
  <c r="H14" i="2"/>
  <c r="L32" i="2"/>
  <c r="J32" i="2"/>
  <c r="I40" i="2"/>
  <c r="D9" i="2"/>
  <c r="B9" i="2"/>
  <c r="A11" i="2"/>
  <c r="L22" i="11"/>
  <c r="J22" i="11"/>
  <c r="I26" i="11"/>
  <c r="H13" i="11"/>
  <c r="F13" i="11"/>
  <c r="E15" i="11"/>
  <c r="B11" i="11"/>
  <c r="A12" i="11"/>
  <c r="D11" i="11"/>
  <c r="R64" i="11"/>
  <c r="Q80" i="11"/>
  <c r="T64" i="11"/>
  <c r="P28" i="11"/>
  <c r="N28" i="11"/>
  <c r="M36" i="11"/>
  <c r="G78" i="15" l="1"/>
  <c r="F76" i="15"/>
  <c r="F77" i="15"/>
  <c r="D81" i="15"/>
  <c r="D80" i="15"/>
  <c r="L40" i="2"/>
  <c r="J40" i="2"/>
  <c r="D11" i="2"/>
  <c r="B11" i="2"/>
  <c r="A13" i="2"/>
  <c r="H18" i="2"/>
  <c r="F18" i="2"/>
  <c r="E22" i="2"/>
  <c r="T80" i="11"/>
  <c r="R80" i="11"/>
  <c r="Q96" i="11"/>
  <c r="I30" i="11"/>
  <c r="L26" i="11"/>
  <c r="J26" i="11"/>
  <c r="D12" i="11"/>
  <c r="B12" i="11"/>
  <c r="A13" i="11"/>
  <c r="P36" i="11"/>
  <c r="N36" i="11"/>
  <c r="M44" i="11"/>
  <c r="F15" i="11"/>
  <c r="E17" i="11"/>
  <c r="H15" i="11"/>
  <c r="F78" i="15" l="1"/>
  <c r="G80" i="15"/>
  <c r="F79" i="15"/>
  <c r="B13" i="2"/>
  <c r="A15" i="2"/>
  <c r="D13" i="2"/>
  <c r="E26" i="2"/>
  <c r="H22" i="2"/>
  <c r="F22" i="2"/>
  <c r="N44" i="11"/>
  <c r="M52" i="11"/>
  <c r="P44" i="11"/>
  <c r="I34" i="11"/>
  <c r="L30" i="11"/>
  <c r="J30" i="11"/>
  <c r="T96" i="11"/>
  <c r="R96" i="11"/>
  <c r="Q112" i="11"/>
  <c r="E19" i="11"/>
  <c r="H17" i="11"/>
  <c r="F17" i="11"/>
  <c r="A14" i="11"/>
  <c r="D13" i="11"/>
  <c r="B13" i="11"/>
  <c r="F81" i="15" l="1"/>
  <c r="F80" i="15"/>
  <c r="B15" i="2"/>
  <c r="A17" i="2"/>
  <c r="D15" i="2"/>
  <c r="E30" i="2"/>
  <c r="H26" i="2"/>
  <c r="F26" i="2"/>
  <c r="H19" i="11"/>
  <c r="E21" i="11"/>
  <c r="F19" i="11"/>
  <c r="A15" i="11"/>
  <c r="D14" i="11"/>
  <c r="B14" i="11"/>
  <c r="I38" i="11"/>
  <c r="L34" i="11"/>
  <c r="J34" i="11"/>
  <c r="N52" i="11"/>
  <c r="M60" i="11"/>
  <c r="P52" i="11"/>
  <c r="Q128" i="11"/>
  <c r="T112" i="11"/>
  <c r="R112" i="11"/>
  <c r="E34" i="2" l="1"/>
  <c r="H30" i="2"/>
  <c r="F30" i="2"/>
  <c r="D17" i="2"/>
  <c r="B17" i="2"/>
  <c r="A19" i="2"/>
  <c r="T128" i="11"/>
  <c r="R128" i="11"/>
  <c r="Q144" i="11"/>
  <c r="D15" i="11"/>
  <c r="B15" i="11"/>
  <c r="A16" i="11"/>
  <c r="N60" i="11"/>
  <c r="M68" i="11"/>
  <c r="P60" i="11"/>
  <c r="I42" i="11"/>
  <c r="J38" i="11"/>
  <c r="L38" i="11"/>
  <c r="E23" i="11"/>
  <c r="H21" i="11"/>
  <c r="F21" i="11"/>
  <c r="E38" i="2" l="1"/>
  <c r="H34" i="2"/>
  <c r="F34" i="2"/>
  <c r="A21" i="2"/>
  <c r="D19" i="2"/>
  <c r="B19" i="2"/>
  <c r="F23" i="11"/>
  <c r="E25" i="11"/>
  <c r="H23" i="11"/>
  <c r="A17" i="11"/>
  <c r="D16" i="11"/>
  <c r="B16" i="11"/>
  <c r="N68" i="11"/>
  <c r="M76" i="11"/>
  <c r="P68" i="11"/>
  <c r="T144" i="11"/>
  <c r="R144" i="11"/>
  <c r="Q160" i="11"/>
  <c r="J42" i="11"/>
  <c r="I46" i="11"/>
  <c r="L42" i="11"/>
  <c r="F38" i="2" l="1"/>
  <c r="E42" i="2"/>
  <c r="H38" i="2"/>
  <c r="D21" i="2"/>
  <c r="B21" i="2"/>
  <c r="A23" i="2"/>
  <c r="J46" i="11"/>
  <c r="I50" i="11"/>
  <c r="L46" i="11"/>
  <c r="A18" i="11"/>
  <c r="D17" i="11"/>
  <c r="B17" i="11"/>
  <c r="E27" i="11"/>
  <c r="H25" i="11"/>
  <c r="F25" i="11"/>
  <c r="P76" i="11"/>
  <c r="N76" i="11"/>
  <c r="M84" i="11"/>
  <c r="T160" i="11"/>
  <c r="Q176" i="11"/>
  <c r="R160" i="11"/>
  <c r="D23" i="2" l="1"/>
  <c r="B23" i="2"/>
  <c r="A25" i="2"/>
  <c r="H42" i="2"/>
  <c r="F42" i="2"/>
  <c r="F27" i="11"/>
  <c r="H27" i="11"/>
  <c r="E29" i="11"/>
  <c r="R176" i="11"/>
  <c r="Q192" i="11"/>
  <c r="T176" i="11"/>
  <c r="B18" i="11"/>
  <c r="D18" i="11"/>
  <c r="A19" i="11"/>
  <c r="P84" i="11"/>
  <c r="N84" i="11"/>
  <c r="M92" i="11"/>
  <c r="J50" i="11"/>
  <c r="I54" i="11"/>
  <c r="L50" i="11"/>
  <c r="A27" i="2" l="1"/>
  <c r="B25" i="2"/>
  <c r="D25" i="2"/>
  <c r="J54" i="11"/>
  <c r="I58" i="11"/>
  <c r="L54" i="11"/>
  <c r="Q208" i="11"/>
  <c r="T192" i="11"/>
  <c r="R192" i="11"/>
  <c r="E31" i="11"/>
  <c r="H29" i="11"/>
  <c r="F29" i="11"/>
  <c r="P92" i="11"/>
  <c r="N92" i="11"/>
  <c r="M100" i="11"/>
  <c r="D19" i="11"/>
  <c r="B19" i="11"/>
  <c r="A20" i="11"/>
  <c r="A29" i="2" l="1"/>
  <c r="D27" i="2"/>
  <c r="B27" i="2"/>
  <c r="J58" i="11"/>
  <c r="I62" i="11"/>
  <c r="L58" i="11"/>
  <c r="D20" i="11"/>
  <c r="B20" i="11"/>
  <c r="A21" i="11"/>
  <c r="H31" i="11"/>
  <c r="F31" i="11"/>
  <c r="E33" i="11"/>
  <c r="P100" i="11"/>
  <c r="N100" i="11"/>
  <c r="M108" i="11"/>
  <c r="Q224" i="11"/>
  <c r="T208" i="11"/>
  <c r="R208" i="11"/>
  <c r="D29" i="2" l="1"/>
  <c r="B29" i="2"/>
  <c r="A31" i="2"/>
  <c r="A22" i="11"/>
  <c r="D21" i="11"/>
  <c r="B21" i="11"/>
  <c r="E35" i="11"/>
  <c r="H33" i="11"/>
  <c r="F33" i="11"/>
  <c r="R224" i="11"/>
  <c r="Q240" i="11"/>
  <c r="T224" i="11"/>
  <c r="M116" i="11"/>
  <c r="P108" i="11"/>
  <c r="N108" i="11"/>
  <c r="J62" i="11"/>
  <c r="I66" i="11"/>
  <c r="L62" i="11"/>
  <c r="D31" i="2" l="1"/>
  <c r="B31" i="2"/>
  <c r="A33" i="2"/>
  <c r="B22" i="11"/>
  <c r="A23" i="11"/>
  <c r="D22" i="11"/>
  <c r="J66" i="11"/>
  <c r="I70" i="11"/>
  <c r="L66" i="11"/>
  <c r="N116" i="11"/>
  <c r="M124" i="11"/>
  <c r="P116" i="11"/>
  <c r="T240" i="11"/>
  <c r="R240" i="11"/>
  <c r="Q256" i="11"/>
  <c r="H35" i="11"/>
  <c r="F35" i="11"/>
  <c r="E37" i="11"/>
  <c r="A35" i="2" l="1"/>
  <c r="D33" i="2"/>
  <c r="B33" i="2"/>
  <c r="P124" i="11"/>
  <c r="N124" i="11"/>
  <c r="M132" i="11"/>
  <c r="J70" i="11"/>
  <c r="I74" i="11"/>
  <c r="L70" i="11"/>
  <c r="T256" i="11"/>
  <c r="R256" i="11"/>
  <c r="Q272" i="11"/>
  <c r="H37" i="11"/>
  <c r="E39" i="11"/>
  <c r="F37" i="11"/>
  <c r="D23" i="11"/>
  <c r="B23" i="11"/>
  <c r="A24" i="11"/>
  <c r="B35" i="2" l="1"/>
  <c r="A37" i="2"/>
  <c r="D35" i="2"/>
  <c r="T272" i="11"/>
  <c r="R272" i="11"/>
  <c r="Q288" i="11"/>
  <c r="A25" i="11"/>
  <c r="D24" i="11"/>
  <c r="B24" i="11"/>
  <c r="L74" i="11"/>
  <c r="J74" i="11"/>
  <c r="I78" i="11"/>
  <c r="P132" i="11"/>
  <c r="N132" i="11"/>
  <c r="M140" i="11"/>
  <c r="H39" i="11"/>
  <c r="F39" i="11"/>
  <c r="E41" i="11"/>
  <c r="D37" i="2" l="1"/>
  <c r="B37" i="2"/>
  <c r="A39" i="2"/>
  <c r="T288" i="11"/>
  <c r="R288" i="11"/>
  <c r="Q304" i="11"/>
  <c r="E43" i="11"/>
  <c r="F41" i="11"/>
  <c r="H41" i="11"/>
  <c r="B25" i="11"/>
  <c r="A26" i="11"/>
  <c r="D25" i="11"/>
  <c r="P140" i="11"/>
  <c r="N140" i="11"/>
  <c r="M148" i="11"/>
  <c r="L78" i="11"/>
  <c r="J78" i="11"/>
  <c r="I82" i="11"/>
  <c r="A41" i="2" l="1"/>
  <c r="B39" i="2"/>
  <c r="D39" i="2"/>
  <c r="H43" i="11"/>
  <c r="F43" i="11"/>
  <c r="E45" i="11"/>
  <c r="D26" i="11"/>
  <c r="B26" i="11"/>
  <c r="A27" i="11"/>
  <c r="T304" i="11"/>
  <c r="R304" i="11"/>
  <c r="Q320" i="11"/>
  <c r="L82" i="11"/>
  <c r="J82" i="11"/>
  <c r="I86" i="11"/>
  <c r="P148" i="11"/>
  <c r="N148" i="11"/>
  <c r="M156" i="11"/>
  <c r="A43" i="2" l="1"/>
  <c r="D41" i="2"/>
  <c r="B41" i="2"/>
  <c r="D27" i="11"/>
  <c r="B27" i="11"/>
  <c r="A28" i="11"/>
  <c r="T320" i="11"/>
  <c r="R320" i="11"/>
  <c r="E47" i="11"/>
  <c r="H45" i="11"/>
  <c r="F45" i="11"/>
  <c r="P156" i="11"/>
  <c r="M164" i="11"/>
  <c r="N156" i="11"/>
  <c r="L86" i="11"/>
  <c r="J86" i="11"/>
  <c r="I90" i="11"/>
  <c r="D43" i="2" l="1"/>
  <c r="B43" i="2"/>
  <c r="P164" i="11"/>
  <c r="M172" i="11"/>
  <c r="N164" i="11"/>
  <c r="L90" i="11"/>
  <c r="J90" i="11"/>
  <c r="I94" i="11"/>
  <c r="H47" i="11"/>
  <c r="F47" i="11"/>
  <c r="E49" i="11"/>
  <c r="A29" i="11"/>
  <c r="D28" i="11"/>
  <c r="B28" i="11"/>
  <c r="N172" i="11" l="1"/>
  <c r="M180" i="11"/>
  <c r="P172" i="11"/>
  <c r="E51" i="11"/>
  <c r="H49" i="11"/>
  <c r="F49" i="11"/>
  <c r="L94" i="11"/>
  <c r="J94" i="11"/>
  <c r="I98" i="11"/>
  <c r="A30" i="11"/>
  <c r="B29" i="11"/>
  <c r="D29" i="11"/>
  <c r="D30" i="11" l="1"/>
  <c r="B30" i="11"/>
  <c r="A31" i="11"/>
  <c r="N180" i="11"/>
  <c r="M188" i="11"/>
  <c r="P180" i="11"/>
  <c r="H51" i="11"/>
  <c r="F51" i="11"/>
  <c r="E53" i="11"/>
  <c r="L98" i="11"/>
  <c r="J98" i="11"/>
  <c r="I102" i="11"/>
  <c r="P188" i="11" l="1"/>
  <c r="N188" i="11"/>
  <c r="M196" i="11"/>
  <c r="D31" i="11"/>
  <c r="A32" i="11"/>
  <c r="B31" i="11"/>
  <c r="I106" i="11"/>
  <c r="L102" i="11"/>
  <c r="J102" i="11"/>
  <c r="H53" i="11"/>
  <c r="E55" i="11"/>
  <c r="F53" i="11"/>
  <c r="I110" i="11" l="1"/>
  <c r="L106" i="11"/>
  <c r="J106" i="11"/>
  <c r="A33" i="11"/>
  <c r="D32" i="11"/>
  <c r="B32" i="11"/>
  <c r="H55" i="11"/>
  <c r="F55" i="11"/>
  <c r="E57" i="11"/>
  <c r="M204" i="11"/>
  <c r="P196" i="11"/>
  <c r="N196" i="11"/>
  <c r="B33" i="11" l="1"/>
  <c r="A34" i="11"/>
  <c r="D33" i="11"/>
  <c r="M212" i="11"/>
  <c r="P204" i="11"/>
  <c r="N204" i="11"/>
  <c r="H57" i="11"/>
  <c r="E59" i="11"/>
  <c r="F57" i="11"/>
  <c r="I114" i="11"/>
  <c r="L110" i="11"/>
  <c r="J110" i="11"/>
  <c r="H59" i="11" l="1"/>
  <c r="F59" i="11"/>
  <c r="E61" i="11"/>
  <c r="M220" i="11"/>
  <c r="P212" i="11"/>
  <c r="N212" i="11"/>
  <c r="I118" i="11"/>
  <c r="L114" i="11"/>
  <c r="J114" i="11"/>
  <c r="D34" i="11"/>
  <c r="B34" i="11"/>
  <c r="A35" i="11"/>
  <c r="N220" i="11" l="1"/>
  <c r="M228" i="11"/>
  <c r="P220" i="11"/>
  <c r="H61" i="11"/>
  <c r="E63" i="11"/>
  <c r="F61" i="11"/>
  <c r="D35" i="11"/>
  <c r="B35" i="11"/>
  <c r="A36" i="11"/>
  <c r="J118" i="11"/>
  <c r="I122" i="11"/>
  <c r="L118" i="11"/>
  <c r="H63" i="11" l="1"/>
  <c r="F63" i="11"/>
  <c r="E65" i="11"/>
  <c r="L122" i="11"/>
  <c r="J122" i="11"/>
  <c r="I126" i="11"/>
  <c r="N228" i="11"/>
  <c r="M236" i="11"/>
  <c r="P228" i="11"/>
  <c r="A37" i="11"/>
  <c r="D36" i="11"/>
  <c r="B36" i="11"/>
  <c r="L126" i="11" l="1"/>
  <c r="J126" i="11"/>
  <c r="I130" i="11"/>
  <c r="H65" i="11"/>
  <c r="E67" i="11"/>
  <c r="F65" i="11"/>
  <c r="P236" i="11"/>
  <c r="N236" i="11"/>
  <c r="M244" i="11"/>
  <c r="B37" i="11"/>
  <c r="A38" i="11"/>
  <c r="D37" i="11"/>
  <c r="H67" i="11" l="1"/>
  <c r="F67" i="11"/>
  <c r="E69" i="11"/>
  <c r="D38" i="11"/>
  <c r="B38" i="11"/>
  <c r="A39" i="11"/>
  <c r="L130" i="11"/>
  <c r="J130" i="11"/>
  <c r="I134" i="11"/>
  <c r="P244" i="11"/>
  <c r="N244" i="11"/>
  <c r="M252" i="11"/>
  <c r="B39" i="11" l="1"/>
  <c r="D39" i="11"/>
  <c r="A40" i="11"/>
  <c r="H69" i="11"/>
  <c r="E71" i="11"/>
  <c r="F69" i="11"/>
  <c r="P252" i="11"/>
  <c r="N252" i="11"/>
  <c r="M260" i="11"/>
  <c r="I138" i="11"/>
  <c r="L134" i="11"/>
  <c r="J134" i="11"/>
  <c r="E73" i="11" l="1"/>
  <c r="H71" i="11"/>
  <c r="F71" i="11"/>
  <c r="A41" i="11"/>
  <c r="D40" i="11"/>
  <c r="B40" i="11"/>
  <c r="I142" i="11"/>
  <c r="L138" i="11"/>
  <c r="J138" i="11"/>
  <c r="P260" i="11"/>
  <c r="N260" i="11"/>
  <c r="M268" i="11"/>
  <c r="E75" i="11" l="1"/>
  <c r="H73" i="11"/>
  <c r="F73" i="11"/>
  <c r="I146" i="11"/>
  <c r="L142" i="11"/>
  <c r="J142" i="11"/>
  <c r="A42" i="11"/>
  <c r="D41" i="11"/>
  <c r="B41" i="11"/>
  <c r="P268" i="11"/>
  <c r="N268" i="11"/>
  <c r="M276" i="11"/>
  <c r="D42" i="11" l="1"/>
  <c r="B42" i="11"/>
  <c r="A43" i="11"/>
  <c r="P276" i="11"/>
  <c r="N276" i="11"/>
  <c r="M284" i="11"/>
  <c r="I150" i="11"/>
  <c r="L146" i="11"/>
  <c r="J146" i="11"/>
  <c r="E77" i="11"/>
  <c r="H75" i="11"/>
  <c r="F75" i="11"/>
  <c r="P284" i="11" l="1"/>
  <c r="N284" i="11"/>
  <c r="M292" i="11"/>
  <c r="I154" i="11"/>
  <c r="L150" i="11"/>
  <c r="J150" i="11"/>
  <c r="D43" i="11"/>
  <c r="A44" i="11"/>
  <c r="B43" i="11"/>
  <c r="E79" i="11"/>
  <c r="H77" i="11"/>
  <c r="F77" i="11"/>
  <c r="A45" i="11" l="1"/>
  <c r="D44" i="11"/>
  <c r="B44" i="11"/>
  <c r="J154" i="11"/>
  <c r="I158" i="11"/>
  <c r="L154" i="11"/>
  <c r="P292" i="11"/>
  <c r="N292" i="11"/>
  <c r="M300" i="11"/>
  <c r="E81" i="11"/>
  <c r="H79" i="11"/>
  <c r="F79" i="11"/>
  <c r="J158" i="11" l="1"/>
  <c r="I162" i="11"/>
  <c r="L158" i="11"/>
  <c r="E83" i="11"/>
  <c r="H81" i="11"/>
  <c r="F81" i="11"/>
  <c r="P300" i="11"/>
  <c r="N300" i="11"/>
  <c r="M308" i="11"/>
  <c r="A46" i="11"/>
  <c r="D45" i="11"/>
  <c r="B45" i="11"/>
  <c r="E85" i="11" l="1"/>
  <c r="H83" i="11"/>
  <c r="F83" i="11"/>
  <c r="P308" i="11"/>
  <c r="N308" i="11"/>
  <c r="M316" i="11"/>
  <c r="D46" i="11"/>
  <c r="B46" i="11"/>
  <c r="A47" i="11"/>
  <c r="J162" i="11"/>
  <c r="I166" i="11"/>
  <c r="L162" i="11"/>
  <c r="P316" i="11" l="1"/>
  <c r="N316" i="11"/>
  <c r="M324" i="11"/>
  <c r="J166" i="11"/>
  <c r="I170" i="11"/>
  <c r="L166" i="11"/>
  <c r="D47" i="11"/>
  <c r="A48" i="11"/>
  <c r="B47" i="11"/>
  <c r="E87" i="11"/>
  <c r="H85" i="11"/>
  <c r="F85" i="11"/>
  <c r="A49" i="11" l="1"/>
  <c r="D48" i="11"/>
  <c r="B48" i="11"/>
  <c r="L170" i="11"/>
  <c r="J170" i="11"/>
  <c r="I174" i="11"/>
  <c r="P324" i="11"/>
  <c r="N324" i="11"/>
  <c r="E89" i="11"/>
  <c r="H87" i="11"/>
  <c r="F87" i="11"/>
  <c r="L174" i="11" l="1"/>
  <c r="J174" i="11"/>
  <c r="I178" i="11"/>
  <c r="E91" i="11"/>
  <c r="F89" i="11"/>
  <c r="H89" i="11"/>
  <c r="A50" i="11"/>
  <c r="D49" i="11"/>
  <c r="B49" i="11"/>
  <c r="L178" i="11" l="1"/>
  <c r="J178" i="11"/>
  <c r="I182" i="11"/>
  <c r="D50" i="11"/>
  <c r="B50" i="11"/>
  <c r="A51" i="11"/>
  <c r="F91" i="11"/>
  <c r="E93" i="11"/>
  <c r="H91" i="11"/>
  <c r="E95" i="11" l="1"/>
  <c r="F93" i="11"/>
  <c r="H93" i="11"/>
  <c r="L182" i="11"/>
  <c r="J182" i="11"/>
  <c r="I186" i="11"/>
  <c r="D51" i="11"/>
  <c r="B51" i="11"/>
  <c r="A52" i="11"/>
  <c r="L186" i="11" l="1"/>
  <c r="J186" i="11"/>
  <c r="I190" i="11"/>
  <c r="A53" i="11"/>
  <c r="D52" i="11"/>
  <c r="B52" i="11"/>
  <c r="F95" i="11"/>
  <c r="E97" i="11"/>
  <c r="H95" i="11"/>
  <c r="E99" i="11" l="1"/>
  <c r="F97" i="11"/>
  <c r="H97" i="11"/>
  <c r="A54" i="11"/>
  <c r="D53" i="11"/>
  <c r="B53" i="11"/>
  <c r="L190" i="11"/>
  <c r="J190" i="11"/>
  <c r="I194" i="11"/>
  <c r="F99" i="11" l="1"/>
  <c r="E101" i="11"/>
  <c r="H99" i="11"/>
  <c r="L194" i="11"/>
  <c r="J194" i="11"/>
  <c r="I198" i="11"/>
  <c r="D54" i="11"/>
  <c r="B54" i="11"/>
  <c r="A55" i="11"/>
  <c r="L198" i="11" l="1"/>
  <c r="J198" i="11"/>
  <c r="I202" i="11"/>
  <c r="D55" i="11"/>
  <c r="B55" i="11"/>
  <c r="A56" i="11"/>
  <c r="E103" i="11"/>
  <c r="F101" i="11"/>
  <c r="H101" i="11"/>
  <c r="F103" i="11" l="1"/>
  <c r="E105" i="11"/>
  <c r="H103" i="11"/>
  <c r="A57" i="11"/>
  <c r="D56" i="11"/>
  <c r="B56" i="11"/>
  <c r="L202" i="11"/>
  <c r="J202" i="11"/>
  <c r="I206" i="11"/>
  <c r="L206" i="11" l="1"/>
  <c r="J206" i="11"/>
  <c r="I210" i="11"/>
  <c r="E107" i="11"/>
  <c r="H105" i="11"/>
  <c r="F105" i="11"/>
  <c r="A58" i="11"/>
  <c r="D57" i="11"/>
  <c r="B57" i="11"/>
  <c r="D58" i="11" l="1"/>
  <c r="B58" i="11"/>
  <c r="A59" i="11"/>
  <c r="H107" i="11"/>
  <c r="F107" i="11"/>
  <c r="E109" i="11"/>
  <c r="I214" i="11"/>
  <c r="L210" i="11"/>
  <c r="J210" i="11"/>
  <c r="E111" i="11" l="1"/>
  <c r="H109" i="11"/>
  <c r="F109" i="11"/>
  <c r="L214" i="11"/>
  <c r="J214" i="11"/>
  <c r="I218" i="11"/>
  <c r="D59" i="11"/>
  <c r="B59" i="11"/>
  <c r="A60" i="11"/>
  <c r="L218" i="11" l="1"/>
  <c r="I222" i="11"/>
  <c r="J218" i="11"/>
  <c r="A61" i="11"/>
  <c r="D60" i="11"/>
  <c r="B60" i="11"/>
  <c r="H111" i="11"/>
  <c r="F111" i="11"/>
  <c r="E113" i="11"/>
  <c r="A62" i="11" l="1"/>
  <c r="D61" i="11"/>
  <c r="B61" i="11"/>
  <c r="L222" i="11"/>
  <c r="I226" i="11"/>
  <c r="J222" i="11"/>
  <c r="E115" i="11"/>
  <c r="H113" i="11"/>
  <c r="F113" i="11"/>
  <c r="H115" i="11" l="1"/>
  <c r="F115" i="11"/>
  <c r="E117" i="11"/>
  <c r="L226" i="11"/>
  <c r="I230" i="11"/>
  <c r="J226" i="11"/>
  <c r="D62" i="11"/>
  <c r="B62" i="11"/>
  <c r="A63" i="11"/>
  <c r="L230" i="11" l="1"/>
  <c r="I234" i="11"/>
  <c r="J230" i="11"/>
  <c r="E119" i="11"/>
  <c r="H117" i="11"/>
  <c r="F117" i="11"/>
  <c r="D63" i="11"/>
  <c r="B63" i="11"/>
  <c r="A64" i="11"/>
  <c r="J234" i="11" l="1"/>
  <c r="I238" i="11"/>
  <c r="L234" i="11"/>
  <c r="E121" i="11"/>
  <c r="H119" i="11"/>
  <c r="F119" i="11"/>
  <c r="A65" i="11"/>
  <c r="D64" i="11"/>
  <c r="B64" i="11"/>
  <c r="A66" i="11" l="1"/>
  <c r="D65" i="11"/>
  <c r="B65" i="11"/>
  <c r="L238" i="11"/>
  <c r="J238" i="11"/>
  <c r="I242" i="11"/>
  <c r="E123" i="11"/>
  <c r="H121" i="11"/>
  <c r="F121" i="11"/>
  <c r="F123" i="11" l="1"/>
  <c r="E125" i="11"/>
  <c r="H123" i="11"/>
  <c r="L242" i="11"/>
  <c r="J242" i="11"/>
  <c r="I246" i="11"/>
  <c r="D66" i="11"/>
  <c r="B66" i="11"/>
  <c r="A67" i="11"/>
  <c r="E127" i="11" l="1"/>
  <c r="H125" i="11"/>
  <c r="F125" i="11"/>
  <c r="L246" i="11"/>
  <c r="J246" i="11"/>
  <c r="I250" i="11"/>
  <c r="D67" i="11"/>
  <c r="B67" i="11"/>
  <c r="A68" i="11"/>
  <c r="L250" i="11" l="1"/>
  <c r="J250" i="11"/>
  <c r="I254" i="11"/>
  <c r="A69" i="11"/>
  <c r="B68" i="11"/>
  <c r="D68" i="11"/>
  <c r="F127" i="11"/>
  <c r="E129" i="11"/>
  <c r="H127" i="11"/>
  <c r="E131" i="11" l="1"/>
  <c r="H129" i="11"/>
  <c r="F129" i="11"/>
  <c r="A70" i="11"/>
  <c r="D69" i="11"/>
  <c r="B69" i="11"/>
  <c r="L254" i="11"/>
  <c r="J254" i="11"/>
  <c r="I258" i="11"/>
  <c r="F131" i="11" l="1"/>
  <c r="E133" i="11"/>
  <c r="H131" i="11"/>
  <c r="D70" i="11"/>
  <c r="B70" i="11"/>
  <c r="A71" i="11"/>
  <c r="L258" i="11"/>
  <c r="J258" i="11"/>
  <c r="I262" i="11"/>
  <c r="D71" i="11" l="1"/>
  <c r="B71" i="11"/>
  <c r="A72" i="11"/>
  <c r="E135" i="11"/>
  <c r="H133" i="11"/>
  <c r="F133" i="11"/>
  <c r="I266" i="11"/>
  <c r="L262" i="11"/>
  <c r="J262" i="11"/>
  <c r="I270" i="11" l="1"/>
  <c r="L266" i="11"/>
  <c r="J266" i="11"/>
  <c r="F135" i="11"/>
  <c r="E137" i="11"/>
  <c r="H135" i="11"/>
  <c r="D72" i="11"/>
  <c r="A73" i="11"/>
  <c r="B72" i="11"/>
  <c r="A74" i="11" l="1"/>
  <c r="D73" i="11"/>
  <c r="B73" i="11"/>
  <c r="E139" i="11"/>
  <c r="F137" i="11"/>
  <c r="H137" i="11"/>
  <c r="I274" i="11"/>
  <c r="L270" i="11"/>
  <c r="J270" i="11"/>
  <c r="H139" i="11" l="1"/>
  <c r="F139" i="11"/>
  <c r="E141" i="11"/>
  <c r="I278" i="11"/>
  <c r="L274" i="11"/>
  <c r="J274" i="11"/>
  <c r="B74" i="11"/>
  <c r="D74" i="11"/>
  <c r="A75" i="11"/>
  <c r="I282" i="11" l="1"/>
  <c r="L278" i="11"/>
  <c r="J278" i="11"/>
  <c r="E143" i="11"/>
  <c r="F141" i="11"/>
  <c r="H141" i="11"/>
  <c r="D75" i="11"/>
  <c r="B75" i="11"/>
  <c r="A76" i="11"/>
  <c r="H143" i="11" l="1"/>
  <c r="F143" i="11"/>
  <c r="E145" i="11"/>
  <c r="B76" i="11"/>
  <c r="A77" i="11"/>
  <c r="D76" i="11"/>
  <c r="J282" i="11"/>
  <c r="I286" i="11"/>
  <c r="L282" i="11"/>
  <c r="J286" i="11" l="1"/>
  <c r="I290" i="11"/>
  <c r="L286" i="11"/>
  <c r="A78" i="11"/>
  <c r="D77" i="11"/>
  <c r="B77" i="11"/>
  <c r="E147" i="11"/>
  <c r="F145" i="11"/>
  <c r="H145" i="11"/>
  <c r="H147" i="11" l="1"/>
  <c r="F147" i="11"/>
  <c r="E149" i="11"/>
  <c r="B78" i="11"/>
  <c r="D78" i="11"/>
  <c r="A79" i="11"/>
  <c r="J290" i="11"/>
  <c r="I294" i="11"/>
  <c r="L290" i="11"/>
  <c r="J294" i="11" l="1"/>
  <c r="I298" i="11"/>
  <c r="L294" i="11"/>
  <c r="D79" i="11"/>
  <c r="B79" i="11"/>
  <c r="A80" i="11"/>
  <c r="E151" i="11"/>
  <c r="F149" i="11"/>
  <c r="H149" i="11"/>
  <c r="B80" i="11" l="1"/>
  <c r="A81" i="11"/>
  <c r="D80" i="11"/>
  <c r="L298" i="11"/>
  <c r="J298" i="11"/>
  <c r="I302" i="11"/>
  <c r="H151" i="11"/>
  <c r="F151" i="11"/>
  <c r="E153" i="11"/>
  <c r="L302" i="11" l="1"/>
  <c r="J302" i="11"/>
  <c r="I306" i="11"/>
  <c r="A82" i="11"/>
  <c r="D81" i="11"/>
  <c r="B81" i="11"/>
  <c r="E155" i="11"/>
  <c r="H153" i="11"/>
  <c r="F153" i="11"/>
  <c r="H155" i="11" l="1"/>
  <c r="F155" i="11"/>
  <c r="E157" i="11"/>
  <c r="B82" i="11"/>
  <c r="D82" i="11"/>
  <c r="A83" i="11"/>
  <c r="L306" i="11"/>
  <c r="J306" i="11"/>
  <c r="I310" i="11"/>
  <c r="E159" i="11" l="1"/>
  <c r="H157" i="11"/>
  <c r="F157" i="11"/>
  <c r="D83" i="11"/>
  <c r="B83" i="11"/>
  <c r="A84" i="11"/>
  <c r="L310" i="11"/>
  <c r="J310" i="11"/>
  <c r="I314" i="11"/>
  <c r="B84" i="11" l="1"/>
  <c r="A85" i="11"/>
  <c r="D84" i="11"/>
  <c r="L314" i="11"/>
  <c r="J314" i="11"/>
  <c r="I318" i="11"/>
  <c r="H159" i="11"/>
  <c r="F159" i="11"/>
  <c r="E161" i="11"/>
  <c r="E163" i="11" l="1"/>
  <c r="H161" i="11"/>
  <c r="F161" i="11"/>
  <c r="L318" i="11"/>
  <c r="J318" i="11"/>
  <c r="I322" i="11"/>
  <c r="A86" i="11"/>
  <c r="D85" i="11"/>
  <c r="B85" i="11"/>
  <c r="L322" i="11" l="1"/>
  <c r="J322" i="11"/>
  <c r="I326" i="11"/>
  <c r="B86" i="11"/>
  <c r="D86" i="11"/>
  <c r="A87" i="11"/>
  <c r="H163" i="11"/>
  <c r="F163" i="11"/>
  <c r="E165" i="11"/>
  <c r="D87" i="11" l="1"/>
  <c r="B87" i="11"/>
  <c r="A88" i="11"/>
  <c r="L326" i="11"/>
  <c r="J326" i="11"/>
  <c r="E167" i="11"/>
  <c r="H165" i="11"/>
  <c r="F165" i="11"/>
  <c r="E169" i="11" l="1"/>
  <c r="H167" i="11"/>
  <c r="F167" i="11"/>
  <c r="A89" i="11"/>
  <c r="B88" i="11"/>
  <c r="D88" i="11"/>
  <c r="H169" i="11" l="1"/>
  <c r="E171" i="11"/>
  <c r="F169" i="11"/>
  <c r="A90" i="11"/>
  <c r="D89" i="11"/>
  <c r="B89" i="11"/>
  <c r="E173" i="11" l="1"/>
  <c r="H171" i="11"/>
  <c r="F171" i="11"/>
  <c r="D90" i="11"/>
  <c r="B90" i="11"/>
  <c r="A91" i="11"/>
  <c r="D91" i="11" l="1"/>
  <c r="A92" i="11"/>
  <c r="B91" i="11"/>
  <c r="H173" i="11"/>
  <c r="F173" i="11"/>
  <c r="E175" i="11"/>
  <c r="E177" i="11" l="1"/>
  <c r="H175" i="11"/>
  <c r="F175" i="11"/>
  <c r="A93" i="11"/>
  <c r="D92" i="11"/>
  <c r="B92" i="11"/>
  <c r="A94" i="11" l="1"/>
  <c r="D93" i="11"/>
  <c r="B93" i="11"/>
  <c r="H177" i="11"/>
  <c r="F177" i="11"/>
  <c r="E179" i="11"/>
  <c r="D94" i="11" l="1"/>
  <c r="B94" i="11"/>
  <c r="A95" i="11"/>
  <c r="E181" i="11"/>
  <c r="H179" i="11"/>
  <c r="F179" i="11"/>
  <c r="H181" i="11" l="1"/>
  <c r="F181" i="11"/>
  <c r="E183" i="11"/>
  <c r="D95" i="11"/>
  <c r="A96" i="11"/>
  <c r="B95" i="11"/>
  <c r="A97" i="11" l="1"/>
  <c r="D96" i="11"/>
  <c r="B96" i="11"/>
  <c r="E185" i="11"/>
  <c r="H183" i="11"/>
  <c r="F183" i="11"/>
  <c r="F185" i="11" l="1"/>
  <c r="E187" i="11"/>
  <c r="H185" i="11"/>
  <c r="A98" i="11"/>
  <c r="D97" i="11"/>
  <c r="B97" i="11"/>
  <c r="D98" i="11" l="1"/>
  <c r="B98" i="11"/>
  <c r="A99" i="11"/>
  <c r="E189" i="11"/>
  <c r="H187" i="11"/>
  <c r="F187" i="11"/>
  <c r="F189" i="11" l="1"/>
  <c r="E191" i="11"/>
  <c r="H189" i="11"/>
  <c r="D99" i="11"/>
  <c r="A100" i="11"/>
  <c r="B99" i="11"/>
  <c r="E193" i="11" l="1"/>
  <c r="H191" i="11"/>
  <c r="F191" i="11"/>
  <c r="A101" i="11"/>
  <c r="D100" i="11"/>
  <c r="B100" i="11"/>
  <c r="A102" i="11" l="1"/>
  <c r="D101" i="11"/>
  <c r="B101" i="11"/>
  <c r="F193" i="11"/>
  <c r="E195" i="11"/>
  <c r="H193" i="11"/>
  <c r="D102" i="11" l="1"/>
  <c r="B102" i="11"/>
  <c r="A103" i="11"/>
  <c r="E197" i="11"/>
  <c r="H195" i="11"/>
  <c r="F195" i="11"/>
  <c r="F197" i="11" l="1"/>
  <c r="E199" i="11"/>
  <c r="H197" i="11"/>
  <c r="D103" i="11"/>
  <c r="A104" i="11"/>
  <c r="B103" i="11"/>
  <c r="A105" i="11" l="1"/>
  <c r="D104" i="11"/>
  <c r="B104" i="11"/>
  <c r="E201" i="11"/>
  <c r="H199" i="11"/>
  <c r="F199" i="11"/>
  <c r="H201" i="11" l="1"/>
  <c r="F201" i="11"/>
  <c r="E203" i="11"/>
  <c r="B105" i="11"/>
  <c r="D105" i="11"/>
  <c r="A106" i="11"/>
  <c r="E205" i="11" l="1"/>
  <c r="F203" i="11"/>
  <c r="H203" i="11"/>
  <c r="D106" i="11"/>
  <c r="B106" i="11"/>
  <c r="A107" i="11"/>
  <c r="H205" i="11" l="1"/>
  <c r="F205" i="11"/>
  <c r="E207" i="11"/>
  <c r="B107" i="11"/>
  <c r="A108" i="11"/>
  <c r="D107" i="11"/>
  <c r="E209" i="11" l="1"/>
  <c r="F207" i="11"/>
  <c r="H207" i="11"/>
  <c r="A109" i="11"/>
  <c r="D108" i="11"/>
  <c r="B108" i="11"/>
  <c r="H209" i="11" l="1"/>
  <c r="F209" i="11"/>
  <c r="E211" i="11"/>
  <c r="B109" i="11"/>
  <c r="D109" i="11"/>
  <c r="A110" i="11"/>
  <c r="D110" i="11" l="1"/>
  <c r="B110" i="11"/>
  <c r="A111" i="11"/>
  <c r="E213" i="11"/>
  <c r="F211" i="11"/>
  <c r="H211" i="11"/>
  <c r="B111" i="11" l="1"/>
  <c r="A112" i="11"/>
  <c r="D111" i="11"/>
  <c r="E215" i="11"/>
  <c r="H213" i="11"/>
  <c r="F213" i="11"/>
  <c r="E217" i="11" l="1"/>
  <c r="F215" i="11"/>
  <c r="H215" i="11"/>
  <c r="A113" i="11"/>
  <c r="D112" i="11"/>
  <c r="B112" i="11"/>
  <c r="H217" i="11" l="1"/>
  <c r="F217" i="11"/>
  <c r="E219" i="11"/>
  <c r="B113" i="11"/>
  <c r="D113" i="11"/>
  <c r="A114" i="11"/>
  <c r="D114" i="11" l="1"/>
  <c r="B114" i="11"/>
  <c r="A115" i="11"/>
  <c r="E221" i="11"/>
  <c r="H219" i="11"/>
  <c r="F219" i="11"/>
  <c r="H221" i="11" l="1"/>
  <c r="F221" i="11"/>
  <c r="E223" i="11"/>
  <c r="B115" i="11"/>
  <c r="A116" i="11"/>
  <c r="D115" i="11"/>
  <c r="D116" i="11" l="1"/>
  <c r="B116" i="11"/>
  <c r="A117" i="11"/>
  <c r="E225" i="11"/>
  <c r="H223" i="11"/>
  <c r="F223" i="11"/>
  <c r="H225" i="11" l="1"/>
  <c r="F225" i="11"/>
  <c r="E227" i="11"/>
  <c r="A118" i="11"/>
  <c r="D117" i="11"/>
  <c r="B117" i="11"/>
  <c r="B118" i="11" l="1"/>
  <c r="D118" i="11"/>
  <c r="A119" i="11"/>
  <c r="E229" i="11"/>
  <c r="H227" i="11"/>
  <c r="F227" i="11"/>
  <c r="H229" i="11" l="1"/>
  <c r="F229" i="11"/>
  <c r="E231" i="11"/>
  <c r="D119" i="11"/>
  <c r="B119" i="11"/>
  <c r="A120" i="11"/>
  <c r="H231" i="11" l="1"/>
  <c r="F231" i="11"/>
  <c r="E233" i="11"/>
  <c r="A121" i="11"/>
  <c r="B120" i="11"/>
  <c r="D120" i="11"/>
  <c r="A122" i="11" l="1"/>
  <c r="D121" i="11"/>
  <c r="B121" i="11"/>
  <c r="E235" i="11"/>
  <c r="H233" i="11"/>
  <c r="F233" i="11"/>
  <c r="H235" i="11" l="1"/>
  <c r="E237" i="11"/>
  <c r="F235" i="11"/>
  <c r="D122" i="11"/>
  <c r="B122" i="11"/>
  <c r="A123" i="11"/>
  <c r="D123" i="11" l="1"/>
  <c r="B123" i="11"/>
  <c r="A124" i="11"/>
  <c r="E239" i="11"/>
  <c r="H237" i="11"/>
  <c r="F237" i="11"/>
  <c r="E241" i="11" l="1"/>
  <c r="H239" i="11"/>
  <c r="F239" i="11"/>
  <c r="A125" i="11"/>
  <c r="B124" i="11"/>
  <c r="D124" i="11"/>
  <c r="E243" i="11" l="1"/>
  <c r="H241" i="11"/>
  <c r="F241" i="11"/>
  <c r="A126" i="11"/>
  <c r="D125" i="11"/>
  <c r="B125" i="11"/>
  <c r="E245" i="11" l="1"/>
  <c r="H243" i="11"/>
  <c r="F243" i="11"/>
  <c r="D126" i="11"/>
  <c r="B126" i="11"/>
  <c r="A127" i="11"/>
  <c r="D127" i="11" l="1"/>
  <c r="B127" i="11"/>
  <c r="A128" i="11"/>
  <c r="E247" i="11"/>
  <c r="H245" i="11"/>
  <c r="F245" i="11"/>
  <c r="A129" i="11" l="1"/>
  <c r="B128" i="11"/>
  <c r="D128" i="11"/>
  <c r="E249" i="11"/>
  <c r="H247" i="11"/>
  <c r="F247" i="11"/>
  <c r="A130" i="11" l="1"/>
  <c r="D129" i="11"/>
  <c r="B129" i="11"/>
  <c r="E251" i="11"/>
  <c r="H249" i="11"/>
  <c r="F249" i="11"/>
  <c r="D130" i="11" l="1"/>
  <c r="B130" i="11"/>
  <c r="A131" i="11"/>
  <c r="F251" i="11"/>
  <c r="E253" i="11"/>
  <c r="H251" i="11"/>
  <c r="E255" i="11" l="1"/>
  <c r="H253" i="11"/>
  <c r="F253" i="11"/>
  <c r="D131" i="11"/>
  <c r="B131" i="11"/>
  <c r="A132" i="11"/>
  <c r="F255" i="11" l="1"/>
  <c r="E257" i="11"/>
  <c r="H255" i="11"/>
  <c r="A133" i="11"/>
  <c r="B132" i="11"/>
  <c r="D132" i="11"/>
  <c r="E259" i="11" l="1"/>
  <c r="H257" i="11"/>
  <c r="F257" i="11"/>
  <c r="A134" i="11"/>
  <c r="D133" i="11"/>
  <c r="B133" i="11"/>
  <c r="D134" i="11" l="1"/>
  <c r="B134" i="11"/>
  <c r="A135" i="11"/>
  <c r="F259" i="11"/>
  <c r="E261" i="11"/>
  <c r="H259" i="11"/>
  <c r="E263" i="11" l="1"/>
  <c r="H261" i="11"/>
  <c r="F261" i="11"/>
  <c r="D135" i="11"/>
  <c r="B135" i="11"/>
  <c r="A136" i="11"/>
  <c r="F263" i="11" l="1"/>
  <c r="E265" i="11"/>
  <c r="H263" i="11"/>
  <c r="A137" i="11"/>
  <c r="B136" i="11"/>
  <c r="D136" i="11"/>
  <c r="E267" i="11" l="1"/>
  <c r="H265" i="11"/>
  <c r="F265" i="11"/>
  <c r="B137" i="11"/>
  <c r="A138" i="11"/>
  <c r="D137" i="11"/>
  <c r="H267" i="11" l="1"/>
  <c r="F267" i="11"/>
  <c r="E269" i="11"/>
  <c r="D138" i="11"/>
  <c r="B138" i="11"/>
  <c r="A139" i="11"/>
  <c r="D139" i="11" l="1"/>
  <c r="A140" i="11"/>
  <c r="B139" i="11"/>
  <c r="E271" i="11"/>
  <c r="H269" i="11"/>
  <c r="F269" i="11"/>
  <c r="H271" i="11" l="1"/>
  <c r="F271" i="11"/>
  <c r="E273" i="11"/>
  <c r="A141" i="11"/>
  <c r="D140" i="11"/>
  <c r="B140" i="11"/>
  <c r="B141" i="11" l="1"/>
  <c r="A142" i="11"/>
  <c r="D141" i="11"/>
  <c r="E275" i="11"/>
  <c r="H273" i="11"/>
  <c r="F273" i="11"/>
  <c r="H275" i="11" l="1"/>
  <c r="F275" i="11"/>
  <c r="E277" i="11"/>
  <c r="D142" i="11"/>
  <c r="B142" i="11"/>
  <c r="A143" i="11"/>
  <c r="D143" i="11" l="1"/>
  <c r="A144" i="11"/>
  <c r="B143" i="11"/>
  <c r="E279" i="11"/>
  <c r="H277" i="11"/>
  <c r="F277" i="11"/>
  <c r="H279" i="11" l="1"/>
  <c r="F279" i="11"/>
  <c r="E281" i="11"/>
  <c r="A145" i="11"/>
  <c r="D144" i="11"/>
  <c r="B144" i="11"/>
  <c r="B145" i="11" l="1"/>
  <c r="A146" i="11"/>
  <c r="D145" i="11"/>
  <c r="E283" i="11"/>
  <c r="H281" i="11"/>
  <c r="F281" i="11"/>
  <c r="H283" i="11" l="1"/>
  <c r="F283" i="11"/>
  <c r="E285" i="11"/>
  <c r="D146" i="11"/>
  <c r="B146" i="11"/>
  <c r="A147" i="11"/>
  <c r="D147" i="11" l="1"/>
  <c r="A148" i="11"/>
  <c r="B147" i="11"/>
  <c r="E287" i="11"/>
  <c r="H285" i="11"/>
  <c r="F285" i="11"/>
  <c r="H287" i="11" l="1"/>
  <c r="F287" i="11"/>
  <c r="E289" i="11"/>
  <c r="A149" i="11"/>
  <c r="D148" i="11"/>
  <c r="B148" i="11"/>
  <c r="B149" i="11" l="1"/>
  <c r="A150" i="11"/>
  <c r="D149" i="11"/>
  <c r="E291" i="11"/>
  <c r="H289" i="11"/>
  <c r="F289" i="11"/>
  <c r="H291" i="11" l="1"/>
  <c r="F291" i="11"/>
  <c r="E293" i="11"/>
  <c r="D150" i="11"/>
  <c r="B150" i="11"/>
  <c r="A151" i="11"/>
  <c r="D151" i="11" l="1"/>
  <c r="A152" i="11"/>
  <c r="B151" i="11"/>
  <c r="E295" i="11"/>
  <c r="H293" i="11"/>
  <c r="F293" i="11"/>
  <c r="E297" i="11" l="1"/>
  <c r="H295" i="11"/>
  <c r="F295" i="11"/>
  <c r="A153" i="11"/>
  <c r="D152" i="11"/>
  <c r="B152" i="11"/>
  <c r="E299" i="11" l="1"/>
  <c r="H297" i="11"/>
  <c r="F297" i="11"/>
  <c r="D153" i="11"/>
  <c r="B153" i="11"/>
  <c r="A154" i="11"/>
  <c r="D154" i="11" l="1"/>
  <c r="B154" i="11"/>
  <c r="A155" i="11"/>
  <c r="E301" i="11"/>
  <c r="H299" i="11"/>
  <c r="F299" i="11"/>
  <c r="A156" i="11" l="1"/>
  <c r="B155" i="11"/>
  <c r="D155" i="11"/>
  <c r="E303" i="11"/>
  <c r="H301" i="11"/>
  <c r="F301" i="11"/>
  <c r="E305" i="11" l="1"/>
  <c r="H303" i="11"/>
  <c r="F303" i="11"/>
  <c r="A157" i="11"/>
  <c r="D156" i="11"/>
  <c r="B156" i="11"/>
  <c r="E307" i="11" l="1"/>
  <c r="H305" i="11"/>
  <c r="F305" i="11"/>
  <c r="D157" i="11"/>
  <c r="B157" i="11"/>
  <c r="A158" i="11"/>
  <c r="E309" i="11" l="1"/>
  <c r="H307" i="11"/>
  <c r="F307" i="11"/>
  <c r="D158" i="11"/>
  <c r="B158" i="11"/>
  <c r="A159" i="11"/>
  <c r="A160" i="11" l="1"/>
  <c r="B159" i="11"/>
  <c r="D159" i="11"/>
  <c r="E311" i="11"/>
  <c r="H309" i="11"/>
  <c r="F309" i="11"/>
  <c r="E313" i="11" l="1"/>
  <c r="H311" i="11"/>
  <c r="F311" i="11"/>
  <c r="A161" i="11"/>
  <c r="D160" i="11"/>
  <c r="B160" i="11"/>
  <c r="D161" i="11" l="1"/>
  <c r="B161" i="11"/>
  <c r="A162" i="11"/>
  <c r="F313" i="11"/>
  <c r="E315" i="11"/>
  <c r="H313" i="11"/>
  <c r="E317" i="11" l="1"/>
  <c r="H315" i="11"/>
  <c r="F315" i="11"/>
  <c r="D162" i="11"/>
  <c r="B162" i="11"/>
  <c r="A163" i="11"/>
  <c r="F317" i="11" l="1"/>
  <c r="E319" i="11"/>
  <c r="H317" i="11"/>
  <c r="A164" i="11"/>
  <c r="B163" i="11"/>
  <c r="D163" i="11"/>
  <c r="A165" i="11" l="1"/>
  <c r="D164" i="11"/>
  <c r="B164" i="11"/>
  <c r="E321" i="11"/>
  <c r="H319" i="11"/>
  <c r="F319" i="11"/>
  <c r="D165" i="11" l="1"/>
  <c r="B165" i="11"/>
  <c r="A166" i="11"/>
  <c r="F321" i="11"/>
  <c r="E323" i="11"/>
  <c r="H321" i="11"/>
  <c r="E325" i="11" l="1"/>
  <c r="H323" i="11"/>
  <c r="F323" i="11"/>
  <c r="D166" i="11"/>
  <c r="B166" i="11"/>
  <c r="A167" i="11"/>
  <c r="F325" i="11" l="1"/>
  <c r="E327" i="11"/>
  <c r="H325" i="11"/>
  <c r="A168" i="11"/>
  <c r="B167" i="11"/>
  <c r="D167" i="11"/>
  <c r="A169" i="11" l="1"/>
  <c r="D168" i="11"/>
  <c r="B168" i="11"/>
  <c r="H327" i="11"/>
  <c r="F327" i="11"/>
  <c r="D169" i="11" l="1"/>
  <c r="B169" i="11"/>
  <c r="A170" i="11"/>
  <c r="D170" i="11" l="1"/>
  <c r="A171" i="11"/>
  <c r="B170" i="11"/>
  <c r="A172" i="11" l="1"/>
  <c r="D171" i="11"/>
  <c r="B171" i="11"/>
  <c r="B172" i="11" l="1"/>
  <c r="A173" i="11"/>
  <c r="D172" i="11"/>
  <c r="D173" i="11" l="1"/>
  <c r="B173" i="11"/>
  <c r="A174" i="11"/>
  <c r="D174" i="11" l="1"/>
  <c r="A175" i="11"/>
  <c r="B174" i="11"/>
  <c r="A176" i="11" l="1"/>
  <c r="D175" i="11"/>
  <c r="B175" i="11"/>
  <c r="B176" i="11" l="1"/>
  <c r="A177" i="11"/>
  <c r="D176" i="11"/>
  <c r="D177" i="11" l="1"/>
  <c r="B177" i="11"/>
  <c r="A178" i="11"/>
  <c r="D178" i="11" l="1"/>
  <c r="A179" i="11"/>
  <c r="B178" i="11"/>
  <c r="A180" i="11" l="1"/>
  <c r="D179" i="11"/>
  <c r="B179" i="11"/>
  <c r="B180" i="11" l="1"/>
  <c r="A181" i="11"/>
  <c r="D180" i="11"/>
  <c r="D181" i="11" l="1"/>
  <c r="B181" i="11"/>
  <c r="A182" i="11"/>
  <c r="D182" i="11" l="1"/>
  <c r="A183" i="11"/>
  <c r="B182" i="11"/>
  <c r="A184" i="11" l="1"/>
  <c r="D183" i="11"/>
  <c r="B183" i="11"/>
  <c r="B184" i="11" l="1"/>
  <c r="D184" i="11"/>
  <c r="A185" i="11"/>
  <c r="D185" i="11" l="1"/>
  <c r="B185" i="11"/>
  <c r="A186" i="11"/>
  <c r="A187" i="11" l="1"/>
  <c r="B186" i="11"/>
  <c r="D186" i="11"/>
  <c r="A188" i="11" l="1"/>
  <c r="D187" i="11"/>
  <c r="B187" i="11"/>
  <c r="D188" i="11" l="1"/>
  <c r="B188" i="11"/>
  <c r="A189" i="11"/>
  <c r="D189" i="11" l="1"/>
  <c r="B189" i="11"/>
  <c r="A190" i="11"/>
  <c r="A191" i="11" l="1"/>
  <c r="B190" i="11"/>
  <c r="D190" i="11"/>
  <c r="A192" i="11" l="1"/>
  <c r="D191" i="11"/>
  <c r="B191" i="11"/>
  <c r="D192" i="11" l="1"/>
  <c r="B192" i="11"/>
  <c r="A193" i="11"/>
  <c r="D193" i="11" l="1"/>
  <c r="B193" i="11"/>
  <c r="A194" i="11"/>
  <c r="A195" i="11" l="1"/>
  <c r="B194" i="11"/>
  <c r="D194" i="11"/>
  <c r="A196" i="11" l="1"/>
  <c r="D195" i="11"/>
  <c r="B195" i="11"/>
  <c r="D196" i="11" l="1"/>
  <c r="B196" i="11"/>
  <c r="A197" i="11"/>
  <c r="D197" i="11" l="1"/>
  <c r="B197" i="11"/>
  <c r="A198" i="11"/>
  <c r="A199" i="11" l="1"/>
  <c r="B198" i="11"/>
  <c r="D198" i="11"/>
  <c r="A200" i="11" l="1"/>
  <c r="D199" i="11"/>
  <c r="B199" i="11"/>
  <c r="D200" i="11" l="1"/>
  <c r="B200" i="11"/>
  <c r="A201" i="11"/>
  <c r="D201" i="11" l="1"/>
  <c r="A202" i="11"/>
  <c r="B201" i="11"/>
  <c r="A203" i="11" l="1"/>
  <c r="D202" i="11"/>
  <c r="B202" i="11"/>
  <c r="B203" i="11" l="1"/>
  <c r="A204" i="11"/>
  <c r="D203" i="11"/>
  <c r="D204" i="11" l="1"/>
  <c r="B204" i="11"/>
  <c r="A205" i="11"/>
  <c r="D205" i="11" l="1"/>
  <c r="B205" i="11"/>
  <c r="A206" i="11"/>
  <c r="A207" i="11" l="1"/>
  <c r="D206" i="11"/>
  <c r="B206" i="11"/>
  <c r="B207" i="11" l="1"/>
  <c r="A208" i="11"/>
  <c r="D207" i="11"/>
  <c r="D208" i="11" l="1"/>
  <c r="B208" i="11"/>
  <c r="A209" i="11"/>
  <c r="D209" i="11" l="1"/>
  <c r="A210" i="11"/>
  <c r="B209" i="11"/>
  <c r="A211" i="11" l="1"/>
  <c r="D210" i="11"/>
  <c r="B210" i="11"/>
  <c r="B211" i="11" l="1"/>
  <c r="A212" i="11"/>
  <c r="D211" i="11"/>
  <c r="D212" i="11" l="1"/>
  <c r="B212" i="11"/>
  <c r="A213" i="11"/>
  <c r="D213" i="11" l="1"/>
  <c r="A214" i="11"/>
  <c r="B213" i="11"/>
  <c r="A215" i="11" l="1"/>
  <c r="D214" i="11"/>
  <c r="B214" i="11"/>
  <c r="B215" i="11" l="1"/>
  <c r="A216" i="11"/>
  <c r="D215" i="11"/>
  <c r="D216" i="11" l="1"/>
  <c r="B216" i="11"/>
  <c r="A217" i="11"/>
  <c r="A218" i="11" l="1"/>
  <c r="B217" i="11"/>
  <c r="D217" i="11"/>
  <c r="A219" i="11" l="1"/>
  <c r="D218" i="11"/>
  <c r="B218" i="11"/>
  <c r="D219" i="11" l="1"/>
  <c r="B219" i="11"/>
  <c r="A220" i="11"/>
  <c r="D220" i="11" l="1"/>
  <c r="B220" i="11"/>
  <c r="A221" i="11"/>
  <c r="A222" i="11" l="1"/>
  <c r="B221" i="11"/>
  <c r="D221" i="11"/>
  <c r="A223" i="11" l="1"/>
  <c r="D222" i="11"/>
  <c r="B222" i="11"/>
  <c r="D223" i="11" l="1"/>
  <c r="B223" i="11"/>
  <c r="A224" i="11"/>
  <c r="D224" i="11" l="1"/>
  <c r="B224" i="11"/>
  <c r="A225" i="11"/>
  <c r="A226" i="11" l="1"/>
  <c r="B225" i="11"/>
  <c r="D225" i="11"/>
  <c r="A227" i="11" l="1"/>
  <c r="D226" i="11"/>
  <c r="B226" i="11"/>
  <c r="D227" i="11" l="1"/>
  <c r="B227" i="11"/>
  <c r="A228" i="11"/>
  <c r="D228" i="11" l="1"/>
  <c r="B228" i="11"/>
  <c r="A229" i="11"/>
  <c r="A230" i="11" l="1"/>
  <c r="B229" i="11"/>
  <c r="D229" i="11"/>
  <c r="A231" i="11" l="1"/>
  <c r="D230" i="11"/>
  <c r="B230" i="11"/>
  <c r="D231" i="11" l="1"/>
  <c r="B231" i="11"/>
  <c r="A232" i="11"/>
  <c r="D232" i="11" l="1"/>
  <c r="B232" i="11"/>
  <c r="A233" i="11"/>
  <c r="A234" i="11" l="1"/>
  <c r="D233" i="11"/>
  <c r="B233" i="11"/>
  <c r="B234" i="11" l="1"/>
  <c r="A235" i="11"/>
  <c r="D234" i="11"/>
  <c r="D235" i="11" l="1"/>
  <c r="B235" i="11"/>
  <c r="A236" i="11"/>
  <c r="D236" i="11" l="1"/>
  <c r="A237" i="11"/>
  <c r="B236" i="11"/>
  <c r="A238" i="11" l="1"/>
  <c r="D237" i="11"/>
  <c r="B237" i="11"/>
  <c r="B238" i="11" l="1"/>
  <c r="A239" i="11"/>
  <c r="D238" i="11"/>
  <c r="D239" i="11" l="1"/>
  <c r="B239" i="11"/>
  <c r="A240" i="11"/>
  <c r="D240" i="11" l="1"/>
  <c r="B240" i="11"/>
  <c r="A241" i="11"/>
  <c r="A242" i="11" l="1"/>
  <c r="D241" i="11"/>
  <c r="B241" i="11"/>
  <c r="B242" i="11" l="1"/>
  <c r="A243" i="11"/>
  <c r="D242" i="11"/>
  <c r="D243" i="11" l="1"/>
  <c r="B243" i="11"/>
  <c r="A244" i="11"/>
  <c r="D244" i="11" l="1"/>
  <c r="B244" i="11"/>
  <c r="A245" i="11"/>
  <c r="A246" i="11" l="1"/>
  <c r="D245" i="11"/>
  <c r="B245" i="11"/>
  <c r="B246" i="11" l="1"/>
  <c r="A247" i="11"/>
  <c r="D246" i="11"/>
  <c r="D247" i="11" l="1"/>
  <c r="B247" i="11"/>
  <c r="A248" i="11"/>
  <c r="A249" i="11" l="1"/>
  <c r="D248" i="11"/>
  <c r="B248" i="11"/>
  <c r="A250" i="11" l="1"/>
  <c r="D249" i="11"/>
  <c r="B249" i="11"/>
  <c r="D250" i="11" l="1"/>
  <c r="B250" i="11"/>
  <c r="A251" i="11"/>
  <c r="D251" i="11" l="1"/>
  <c r="B251" i="11"/>
  <c r="A252" i="11"/>
  <c r="A253" i="11" l="1"/>
  <c r="D252" i="11"/>
  <c r="B252" i="11"/>
  <c r="A254" i="11" l="1"/>
  <c r="D253" i="11"/>
  <c r="B253" i="11"/>
  <c r="D254" i="11" l="1"/>
  <c r="B254" i="11"/>
  <c r="A255" i="11"/>
  <c r="D255" i="11" l="1"/>
  <c r="B255" i="11"/>
  <c r="A256" i="11"/>
  <c r="A257" i="11" l="1"/>
  <c r="D256" i="11"/>
  <c r="B256" i="11"/>
  <c r="A258" i="11" l="1"/>
  <c r="D257" i="11"/>
  <c r="B257" i="11"/>
  <c r="D258" i="11" l="1"/>
  <c r="B258" i="11"/>
  <c r="A259" i="11"/>
  <c r="D259" i="11" l="1"/>
  <c r="B259" i="11"/>
  <c r="A260" i="11"/>
  <c r="A261" i="11" l="1"/>
  <c r="D260" i="11"/>
  <c r="B260" i="11"/>
  <c r="A262" i="11" l="1"/>
  <c r="D261" i="11"/>
  <c r="B261" i="11"/>
  <c r="D262" i="11" l="1"/>
  <c r="B262" i="11"/>
  <c r="A263" i="11"/>
  <c r="D263" i="11" l="1"/>
  <c r="B263" i="11"/>
  <c r="A264" i="11"/>
  <c r="A265" i="11" l="1"/>
  <c r="D264" i="11"/>
  <c r="B264" i="11"/>
  <c r="B265" i="11" l="1"/>
  <c r="A266" i="11"/>
  <c r="D265" i="11"/>
  <c r="D266" i="11" l="1"/>
  <c r="B266" i="11"/>
  <c r="A267" i="11"/>
  <c r="D267" i="11" l="1"/>
  <c r="B267" i="11"/>
  <c r="A268" i="11"/>
  <c r="A269" i="11" l="1"/>
  <c r="D268" i="11"/>
  <c r="B268" i="11"/>
  <c r="B269" i="11" l="1"/>
  <c r="A270" i="11"/>
  <c r="D269" i="11"/>
  <c r="D270" i="11" l="1"/>
  <c r="B270" i="11"/>
  <c r="A271" i="11"/>
  <c r="D271" i="11" l="1"/>
  <c r="B271" i="11"/>
  <c r="A272" i="11"/>
  <c r="A273" i="11" l="1"/>
  <c r="D272" i="11"/>
  <c r="B272" i="11"/>
  <c r="B273" i="11" l="1"/>
  <c r="A274" i="11"/>
  <c r="D273" i="11"/>
  <c r="D274" i="11" l="1"/>
  <c r="B274" i="11"/>
  <c r="A275" i="11"/>
  <c r="D275" i="11" l="1"/>
  <c r="B275" i="11"/>
  <c r="A276" i="11"/>
  <c r="A277" i="11" l="1"/>
  <c r="D276" i="11"/>
  <c r="B276" i="11"/>
  <c r="B277" i="11" l="1"/>
  <c r="A278" i="11"/>
  <c r="D277" i="11"/>
  <c r="D278" i="11" l="1"/>
  <c r="B278" i="11"/>
  <c r="A279" i="11"/>
  <c r="D279" i="11" l="1"/>
  <c r="B279" i="11"/>
  <c r="A280" i="11"/>
  <c r="A281" i="11" l="1"/>
  <c r="D280" i="11"/>
  <c r="B280" i="11"/>
  <c r="D281" i="11" l="1"/>
  <c r="B281" i="11"/>
  <c r="A282" i="11"/>
  <c r="D282" i="11" l="1"/>
  <c r="B282" i="11"/>
  <c r="A283" i="11"/>
  <c r="A284" i="11" l="1"/>
  <c r="D283" i="11"/>
  <c r="B283" i="11"/>
  <c r="A285" i="11" l="1"/>
  <c r="D284" i="11"/>
  <c r="B284" i="11"/>
  <c r="D285" i="11" l="1"/>
  <c r="B285" i="11"/>
  <c r="A286" i="11"/>
  <c r="D286" i="11" l="1"/>
  <c r="B286" i="11"/>
  <c r="A287" i="11"/>
  <c r="A288" i="11" l="1"/>
  <c r="D287" i="11"/>
  <c r="B287" i="11"/>
  <c r="A289" i="11" l="1"/>
  <c r="D288" i="11"/>
  <c r="B288" i="11"/>
  <c r="D289" i="11" l="1"/>
  <c r="B289" i="11"/>
  <c r="A290" i="11"/>
  <c r="D290" i="11" l="1"/>
  <c r="B290" i="11"/>
  <c r="A291" i="11"/>
  <c r="A292" i="11" l="1"/>
  <c r="D291" i="11"/>
  <c r="B291" i="11"/>
  <c r="A293" i="11" l="1"/>
  <c r="D292" i="11"/>
  <c r="B292" i="11"/>
  <c r="D293" i="11" l="1"/>
  <c r="B293" i="11"/>
  <c r="A294" i="11"/>
  <c r="D294" i="11" l="1"/>
  <c r="B294" i="11"/>
  <c r="A295" i="11"/>
  <c r="A296" i="11" l="1"/>
  <c r="D295" i="11"/>
  <c r="B295" i="11"/>
  <c r="A297" i="11" l="1"/>
  <c r="D296" i="11"/>
  <c r="B296" i="11"/>
  <c r="D297" i="11" l="1"/>
  <c r="B297" i="11"/>
  <c r="A298" i="11"/>
  <c r="D298" i="11" l="1"/>
  <c r="B298" i="11"/>
  <c r="A299" i="11"/>
  <c r="A300" i="11" l="1"/>
  <c r="D299" i="11"/>
  <c r="B299" i="11"/>
  <c r="B300" i="11" l="1"/>
  <c r="A301" i="11"/>
  <c r="D300" i="11"/>
  <c r="D301" i="11" l="1"/>
  <c r="B301" i="11"/>
  <c r="A302" i="11"/>
  <c r="D302" i="11" l="1"/>
  <c r="B302" i="11"/>
  <c r="A303" i="11"/>
  <c r="A304" i="11" l="1"/>
  <c r="D303" i="11"/>
  <c r="B303" i="11"/>
  <c r="B304" i="11" l="1"/>
  <c r="A305" i="11"/>
  <c r="D304" i="11"/>
  <c r="D305" i="11" l="1"/>
  <c r="B305" i="11"/>
  <c r="A306" i="11"/>
  <c r="D306" i="11" l="1"/>
  <c r="B306" i="11"/>
  <c r="A307" i="11"/>
  <c r="A308" i="11" l="1"/>
  <c r="D307" i="11"/>
  <c r="B307" i="11"/>
  <c r="B308" i="11" l="1"/>
  <c r="A309" i="11"/>
  <c r="D308" i="11"/>
  <c r="D309" i="11" l="1"/>
  <c r="B309" i="11"/>
  <c r="A310" i="11"/>
  <c r="D310" i="11" l="1"/>
  <c r="B310" i="11"/>
  <c r="A311" i="11"/>
  <c r="A312" i="11" l="1"/>
  <c r="D311" i="11"/>
  <c r="B311" i="11"/>
  <c r="B312" i="11" l="1"/>
  <c r="A313" i="11"/>
  <c r="D312" i="11"/>
  <c r="D313" i="11" l="1"/>
  <c r="B313" i="11"/>
  <c r="A314" i="11"/>
  <c r="A315" i="11" l="1"/>
  <c r="D314" i="11"/>
  <c r="B314" i="11"/>
  <c r="A316" i="11" l="1"/>
  <c r="D315" i="11"/>
  <c r="B315" i="11"/>
  <c r="D316" i="11" l="1"/>
  <c r="B316" i="11"/>
  <c r="A317" i="11"/>
  <c r="D317" i="11" l="1"/>
  <c r="B317" i="11"/>
  <c r="A318" i="11"/>
  <c r="A319" i="11" l="1"/>
  <c r="D318" i="11"/>
  <c r="B318" i="11"/>
  <c r="A320" i="11" l="1"/>
  <c r="D319" i="11"/>
  <c r="B319" i="11"/>
  <c r="D320" i="11" l="1"/>
  <c r="B320" i="11"/>
  <c r="A321" i="11"/>
  <c r="D321" i="11" l="1"/>
  <c r="B321" i="11"/>
  <c r="A322" i="11"/>
  <c r="A323" i="11" l="1"/>
  <c r="D322" i="11"/>
  <c r="B322" i="11"/>
  <c r="A324" i="11" l="1"/>
  <c r="D323" i="11"/>
  <c r="B323" i="11"/>
  <c r="D324" i="11" l="1"/>
  <c r="B324" i="11"/>
  <c r="A325" i="11"/>
  <c r="D325" i="11" l="1"/>
  <c r="B325" i="11"/>
  <c r="A326" i="11"/>
  <c r="A327" i="11" l="1"/>
  <c r="D326" i="11"/>
  <c r="B326" i="11"/>
  <c r="A328" i="11" l="1"/>
  <c r="D327" i="11"/>
  <c r="B327" i="11"/>
  <c r="X201" i="10"/>
  <c r="V201" i="10"/>
  <c r="X169" i="10"/>
  <c r="V169" i="10"/>
  <c r="X137" i="10"/>
  <c r="V137" i="10"/>
  <c r="X105" i="10"/>
  <c r="V105" i="10"/>
  <c r="X73" i="10"/>
  <c r="V73" i="10"/>
  <c r="Q48" i="10"/>
  <c r="Q64" i="10" s="1"/>
  <c r="Q80" i="10" s="1"/>
  <c r="X41" i="10"/>
  <c r="V41" i="10"/>
  <c r="T32" i="10"/>
  <c r="R32" i="10"/>
  <c r="P20" i="10"/>
  <c r="M20" i="10"/>
  <c r="M28" i="10" s="1"/>
  <c r="I14" i="10"/>
  <c r="I18" i="10" s="1"/>
  <c r="F13" i="10"/>
  <c r="P12" i="10"/>
  <c r="N12" i="10"/>
  <c r="H11" i="10"/>
  <c r="F11" i="10"/>
  <c r="E11" i="10"/>
  <c r="E13" i="10" s="1"/>
  <c r="E15" i="10" s="1"/>
  <c r="A11" i="10"/>
  <c r="L10" i="10"/>
  <c r="J10" i="10"/>
  <c r="D10" i="10"/>
  <c r="B10" i="10"/>
  <c r="A10" i="10"/>
  <c r="H9" i="10"/>
  <c r="F9" i="10"/>
  <c r="D9" i="10"/>
  <c r="B9" i="10"/>
  <c r="U52" i="9"/>
  <c r="Q28" i="9"/>
  <c r="X20" i="9"/>
  <c r="V20" i="9"/>
  <c r="M16" i="9"/>
  <c r="T12" i="9"/>
  <c r="R12" i="9"/>
  <c r="I10" i="9"/>
  <c r="P8" i="9"/>
  <c r="N8" i="9"/>
  <c r="E7" i="9"/>
  <c r="L6" i="9"/>
  <c r="J6" i="9"/>
  <c r="C6" i="9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A6" i="9"/>
  <c r="H5" i="9"/>
  <c r="F5" i="9"/>
  <c r="D5" i="9"/>
  <c r="B5" i="9"/>
  <c r="H7" i="9" l="1"/>
  <c r="E9" i="9"/>
  <c r="I14" i="9"/>
  <c r="I18" i="9" s="1"/>
  <c r="J18" i="9" s="1"/>
  <c r="L10" i="9"/>
  <c r="J10" i="9"/>
  <c r="T28" i="9"/>
  <c r="Q44" i="9"/>
  <c r="D328" i="11"/>
  <c r="B328" i="11"/>
  <c r="B11" i="10"/>
  <c r="D11" i="10"/>
  <c r="A12" i="10"/>
  <c r="H13" i="10"/>
  <c r="E17" i="10"/>
  <c r="F15" i="10"/>
  <c r="H15" i="10"/>
  <c r="L18" i="10"/>
  <c r="J18" i="10"/>
  <c r="I22" i="10"/>
  <c r="J14" i="10"/>
  <c r="P28" i="10"/>
  <c r="M36" i="10"/>
  <c r="T64" i="10"/>
  <c r="R64" i="10"/>
  <c r="L14" i="10"/>
  <c r="N20" i="10"/>
  <c r="R80" i="10"/>
  <c r="Q96" i="10"/>
  <c r="T80" i="10"/>
  <c r="N28" i="10"/>
  <c r="R48" i="10"/>
  <c r="T48" i="10"/>
  <c r="L18" i="9"/>
  <c r="A7" i="9"/>
  <c r="D6" i="9"/>
  <c r="B6" i="9"/>
  <c r="L14" i="9"/>
  <c r="J14" i="9"/>
  <c r="M24" i="9"/>
  <c r="P16" i="9"/>
  <c r="U84" i="9"/>
  <c r="X52" i="9"/>
  <c r="N16" i="9"/>
  <c r="V52" i="9"/>
  <c r="I22" i="9"/>
  <c r="R44" i="9"/>
  <c r="F7" i="9"/>
  <c r="R28" i="9"/>
  <c r="P166" i="8"/>
  <c r="N166" i="8"/>
  <c r="M70" i="8"/>
  <c r="M78" i="8" s="1"/>
  <c r="U62" i="8"/>
  <c r="X62" i="8" s="1"/>
  <c r="P62" i="8"/>
  <c r="N62" i="8"/>
  <c r="Q46" i="8"/>
  <c r="X30" i="8"/>
  <c r="V30" i="8"/>
  <c r="T30" i="8"/>
  <c r="R30" i="8"/>
  <c r="M22" i="8"/>
  <c r="M30" i="8" s="1"/>
  <c r="P30" i="8" s="1"/>
  <c r="I16" i="8"/>
  <c r="P14" i="8"/>
  <c r="N14" i="8"/>
  <c r="E13" i="8"/>
  <c r="L12" i="8"/>
  <c r="J12" i="8"/>
  <c r="H11" i="8"/>
  <c r="F11" i="8"/>
  <c r="C10" i="8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A10" i="8"/>
  <c r="D10" i="8" s="1"/>
  <c r="D9" i="8"/>
  <c r="B9" i="8"/>
  <c r="U93" i="7"/>
  <c r="S93" i="7"/>
  <c r="U77" i="7"/>
  <c r="S77" i="7"/>
  <c r="U61" i="7"/>
  <c r="S61" i="7"/>
  <c r="Q37" i="7"/>
  <c r="N37" i="7"/>
  <c r="N53" i="7" s="1"/>
  <c r="U29" i="7"/>
  <c r="S29" i="7"/>
  <c r="K25" i="7"/>
  <c r="J25" i="7"/>
  <c r="J33" i="7" s="1"/>
  <c r="Q21" i="7"/>
  <c r="O21" i="7"/>
  <c r="I19" i="7"/>
  <c r="F19" i="7"/>
  <c r="F23" i="7" s="1"/>
  <c r="M17" i="7"/>
  <c r="K17" i="7"/>
  <c r="B16" i="7"/>
  <c r="E16" i="7" s="1"/>
  <c r="I15" i="7"/>
  <c r="G15" i="7"/>
  <c r="C14" i="7"/>
  <c r="B14" i="7"/>
  <c r="E14" i="7" s="1"/>
  <c r="E12" i="7"/>
  <c r="C12" i="7"/>
  <c r="C11" i="7" s="1"/>
  <c r="E11" i="7"/>
  <c r="I20" i="8" l="1"/>
  <c r="L16" i="8"/>
  <c r="V62" i="8"/>
  <c r="N70" i="8"/>
  <c r="P70" i="8"/>
  <c r="A11" i="8"/>
  <c r="A12" i="8" s="1"/>
  <c r="T44" i="9"/>
  <c r="Q60" i="9"/>
  <c r="H9" i="9"/>
  <c r="E11" i="9"/>
  <c r="F9" i="9"/>
  <c r="F17" i="10"/>
  <c r="H17" i="10"/>
  <c r="E19" i="10"/>
  <c r="Q112" i="10"/>
  <c r="R96" i="10"/>
  <c r="T96" i="10"/>
  <c r="A13" i="10"/>
  <c r="D12" i="10"/>
  <c r="B12" i="10"/>
  <c r="N36" i="10"/>
  <c r="M44" i="10"/>
  <c r="P36" i="10"/>
  <c r="L22" i="10"/>
  <c r="J22" i="10"/>
  <c r="I26" i="10"/>
  <c r="M32" i="9"/>
  <c r="P24" i="9"/>
  <c r="N24" i="9"/>
  <c r="D7" i="9"/>
  <c r="B7" i="9"/>
  <c r="A8" i="9"/>
  <c r="X84" i="9"/>
  <c r="V84" i="9"/>
  <c r="U116" i="9"/>
  <c r="I26" i="9"/>
  <c r="L22" i="9"/>
  <c r="J22" i="9"/>
  <c r="D11" i="8"/>
  <c r="B11" i="8"/>
  <c r="L20" i="8"/>
  <c r="J20" i="8"/>
  <c r="I24" i="8"/>
  <c r="N30" i="8"/>
  <c r="M38" i="8"/>
  <c r="F13" i="8"/>
  <c r="E15" i="8"/>
  <c r="H13" i="8"/>
  <c r="Q62" i="8"/>
  <c r="R46" i="8"/>
  <c r="M86" i="8"/>
  <c r="P78" i="8"/>
  <c r="N78" i="8"/>
  <c r="N22" i="8"/>
  <c r="T46" i="8"/>
  <c r="B10" i="8"/>
  <c r="J16" i="8"/>
  <c r="P22" i="8"/>
  <c r="U94" i="8"/>
  <c r="F27" i="7"/>
  <c r="I23" i="7"/>
  <c r="G23" i="7"/>
  <c r="N69" i="7"/>
  <c r="O53" i="7"/>
  <c r="Q53" i="7"/>
  <c r="K33" i="7"/>
  <c r="J41" i="7"/>
  <c r="M33" i="7"/>
  <c r="M25" i="7"/>
  <c r="G19" i="7"/>
  <c r="O37" i="7"/>
  <c r="C16" i="7"/>
  <c r="B18" i="7"/>
  <c r="H11" i="9" l="1"/>
  <c r="F11" i="9"/>
  <c r="E13" i="9"/>
  <c r="T60" i="9"/>
  <c r="Q76" i="9"/>
  <c r="R60" i="9"/>
  <c r="A14" i="10"/>
  <c r="D13" i="10"/>
  <c r="B13" i="10"/>
  <c r="Q128" i="10"/>
  <c r="T112" i="10"/>
  <c r="R112" i="10"/>
  <c r="L26" i="10"/>
  <c r="I30" i="10"/>
  <c r="J26" i="10"/>
  <c r="P44" i="10"/>
  <c r="N44" i="10"/>
  <c r="M52" i="10"/>
  <c r="E21" i="10"/>
  <c r="H19" i="10"/>
  <c r="F19" i="10"/>
  <c r="L26" i="9"/>
  <c r="J26" i="9"/>
  <c r="I30" i="9"/>
  <c r="M40" i="9"/>
  <c r="P32" i="9"/>
  <c r="N32" i="9"/>
  <c r="B8" i="9"/>
  <c r="A9" i="9"/>
  <c r="D8" i="9"/>
  <c r="V116" i="9"/>
  <c r="U148" i="9"/>
  <c r="X116" i="9"/>
  <c r="U126" i="8"/>
  <c r="X94" i="8"/>
  <c r="V94" i="8"/>
  <c r="M94" i="8"/>
  <c r="N86" i="8"/>
  <c r="P86" i="8"/>
  <c r="M46" i="8"/>
  <c r="N38" i="8"/>
  <c r="P38" i="8"/>
  <c r="L24" i="8"/>
  <c r="I28" i="8"/>
  <c r="J24" i="8"/>
  <c r="H15" i="8"/>
  <c r="E17" i="8"/>
  <c r="F15" i="8"/>
  <c r="R62" i="8"/>
  <c r="T62" i="8"/>
  <c r="Q78" i="8"/>
  <c r="B12" i="8"/>
  <c r="D12" i="8"/>
  <c r="A13" i="8"/>
  <c r="E18" i="7"/>
  <c r="C18" i="7"/>
  <c r="B20" i="7"/>
  <c r="Q69" i="7"/>
  <c r="O69" i="7"/>
  <c r="N85" i="7"/>
  <c r="G27" i="7"/>
  <c r="F31" i="7"/>
  <c r="I27" i="7"/>
  <c r="M41" i="7"/>
  <c r="K41" i="7"/>
  <c r="J49" i="7"/>
  <c r="T76" i="9" l="1"/>
  <c r="R76" i="9"/>
  <c r="Q92" i="9"/>
  <c r="H13" i="9"/>
  <c r="F13" i="9"/>
  <c r="E15" i="9"/>
  <c r="H21" i="10"/>
  <c r="F21" i="10"/>
  <c r="E23" i="10"/>
  <c r="M60" i="10"/>
  <c r="P52" i="10"/>
  <c r="N52" i="10"/>
  <c r="T128" i="10"/>
  <c r="R128" i="10"/>
  <c r="Q144" i="10"/>
  <c r="I34" i="10"/>
  <c r="L30" i="10"/>
  <c r="J30" i="10"/>
  <c r="D14" i="10"/>
  <c r="B14" i="10"/>
  <c r="A15" i="10"/>
  <c r="D9" i="9"/>
  <c r="B9" i="9"/>
  <c r="A10" i="9"/>
  <c r="U180" i="9"/>
  <c r="V148" i="9"/>
  <c r="X148" i="9"/>
  <c r="N40" i="9"/>
  <c r="M48" i="9"/>
  <c r="P40" i="9"/>
  <c r="I34" i="9"/>
  <c r="L30" i="9"/>
  <c r="J30" i="9"/>
  <c r="N46" i="8"/>
  <c r="P46" i="8"/>
  <c r="D13" i="8"/>
  <c r="B13" i="8"/>
  <c r="A14" i="8"/>
  <c r="I32" i="8"/>
  <c r="L28" i="8"/>
  <c r="J28" i="8"/>
  <c r="Q94" i="8"/>
  <c r="T78" i="8"/>
  <c r="R78" i="8"/>
  <c r="E19" i="8"/>
  <c r="H17" i="8"/>
  <c r="F17" i="8"/>
  <c r="M102" i="8"/>
  <c r="P94" i="8"/>
  <c r="N94" i="8"/>
  <c r="U158" i="8"/>
  <c r="V126" i="8"/>
  <c r="X126" i="8"/>
  <c r="E20" i="7"/>
  <c r="C20" i="7"/>
  <c r="B22" i="7"/>
  <c r="F35" i="7"/>
  <c r="I31" i="7"/>
  <c r="G31" i="7"/>
  <c r="N101" i="7"/>
  <c r="Q85" i="7"/>
  <c r="O85" i="7"/>
  <c r="K49" i="7"/>
  <c r="M49" i="7"/>
  <c r="J57" i="7"/>
  <c r="E17" i="9" l="1"/>
  <c r="H15" i="9"/>
  <c r="F15" i="9"/>
  <c r="T92" i="9"/>
  <c r="R92" i="9"/>
  <c r="Q108" i="9"/>
  <c r="M68" i="10"/>
  <c r="N60" i="10"/>
  <c r="P60" i="10"/>
  <c r="H23" i="10"/>
  <c r="E25" i="10"/>
  <c r="F23" i="10"/>
  <c r="I38" i="10"/>
  <c r="L34" i="10"/>
  <c r="J34" i="10"/>
  <c r="D15" i="10"/>
  <c r="B15" i="10"/>
  <c r="A16" i="10"/>
  <c r="T144" i="10"/>
  <c r="R144" i="10"/>
  <c r="Q160" i="10"/>
  <c r="X180" i="9"/>
  <c r="U212" i="9"/>
  <c r="V180" i="9"/>
  <c r="N48" i="9"/>
  <c r="M56" i="9"/>
  <c r="P48" i="9"/>
  <c r="B10" i="9"/>
  <c r="A11" i="9"/>
  <c r="D10" i="9"/>
  <c r="L34" i="9"/>
  <c r="I38" i="9"/>
  <c r="J34" i="9"/>
  <c r="M110" i="8"/>
  <c r="N102" i="8"/>
  <c r="P102" i="8"/>
  <c r="F19" i="8"/>
  <c r="E21" i="8"/>
  <c r="H19" i="8"/>
  <c r="J32" i="8"/>
  <c r="I36" i="8"/>
  <c r="L32" i="8"/>
  <c r="D14" i="8"/>
  <c r="B14" i="8"/>
  <c r="A15" i="8"/>
  <c r="X158" i="8"/>
  <c r="V158" i="8"/>
  <c r="Q110" i="8"/>
  <c r="R94" i="8"/>
  <c r="T94" i="8"/>
  <c r="M57" i="7"/>
  <c r="K57" i="7"/>
  <c r="J65" i="7"/>
  <c r="G35" i="7"/>
  <c r="I35" i="7"/>
  <c r="F39" i="7"/>
  <c r="B24" i="7"/>
  <c r="E22" i="7"/>
  <c r="C22" i="7"/>
  <c r="O101" i="7"/>
  <c r="Q101" i="7"/>
  <c r="R108" i="9" l="1"/>
  <c r="Q124" i="9"/>
  <c r="T108" i="9"/>
  <c r="E19" i="9"/>
  <c r="H17" i="9"/>
  <c r="F17" i="9"/>
  <c r="Q176" i="10"/>
  <c r="R160" i="10"/>
  <c r="T160" i="10"/>
  <c r="A17" i="10"/>
  <c r="B16" i="10"/>
  <c r="D16" i="10"/>
  <c r="E27" i="10"/>
  <c r="F25" i="10"/>
  <c r="H25" i="10"/>
  <c r="I42" i="10"/>
  <c r="J38" i="10"/>
  <c r="L38" i="10"/>
  <c r="M76" i="10"/>
  <c r="P68" i="10"/>
  <c r="N68" i="10"/>
  <c r="D11" i="9"/>
  <c r="B11" i="9"/>
  <c r="A12" i="9"/>
  <c r="J38" i="9"/>
  <c r="I42" i="9"/>
  <c r="L38" i="9"/>
  <c r="N56" i="9"/>
  <c r="M64" i="9"/>
  <c r="P56" i="9"/>
  <c r="U244" i="9"/>
  <c r="V212" i="9"/>
  <c r="X212" i="9"/>
  <c r="Q126" i="8"/>
  <c r="R110" i="8"/>
  <c r="T110" i="8"/>
  <c r="I40" i="8"/>
  <c r="L36" i="8"/>
  <c r="J36" i="8"/>
  <c r="D15" i="8"/>
  <c r="B15" i="8"/>
  <c r="A16" i="8"/>
  <c r="H21" i="8"/>
  <c r="F21" i="8"/>
  <c r="E23" i="8"/>
  <c r="P110" i="8"/>
  <c r="N110" i="8"/>
  <c r="M118" i="8"/>
  <c r="I39" i="7"/>
  <c r="F43" i="7"/>
  <c r="G39" i="7"/>
  <c r="B26" i="7"/>
  <c r="E24" i="7"/>
  <c r="C24" i="7"/>
  <c r="J73" i="7"/>
  <c r="M65" i="7"/>
  <c r="K65" i="7"/>
  <c r="H19" i="9" l="1"/>
  <c r="E21" i="9"/>
  <c r="F19" i="9"/>
  <c r="R124" i="9"/>
  <c r="Q140" i="9"/>
  <c r="T124" i="9"/>
  <c r="F27" i="10"/>
  <c r="E29" i="10"/>
  <c r="H27" i="10"/>
  <c r="B17" i="10"/>
  <c r="D17" i="10"/>
  <c r="A18" i="10"/>
  <c r="N76" i="10"/>
  <c r="M84" i="10"/>
  <c r="P76" i="10"/>
  <c r="J42" i="10"/>
  <c r="I46" i="10"/>
  <c r="L42" i="10"/>
  <c r="Q192" i="10"/>
  <c r="T176" i="10"/>
  <c r="R176" i="10"/>
  <c r="A13" i="9"/>
  <c r="D12" i="9"/>
  <c r="B12" i="9"/>
  <c r="L42" i="9"/>
  <c r="J42" i="9"/>
  <c r="I46" i="9"/>
  <c r="V244" i="9"/>
  <c r="X244" i="9"/>
  <c r="M72" i="9"/>
  <c r="P64" i="9"/>
  <c r="N64" i="9"/>
  <c r="P118" i="8"/>
  <c r="N118" i="8"/>
  <c r="M126" i="8"/>
  <c r="I44" i="8"/>
  <c r="L40" i="8"/>
  <c r="J40" i="8"/>
  <c r="F23" i="8"/>
  <c r="H23" i="8"/>
  <c r="E25" i="8"/>
  <c r="A17" i="8"/>
  <c r="D16" i="8"/>
  <c r="B16" i="8"/>
  <c r="T126" i="8"/>
  <c r="R126" i="8"/>
  <c r="Q142" i="8"/>
  <c r="E26" i="7"/>
  <c r="C26" i="7"/>
  <c r="B28" i="7"/>
  <c r="I43" i="7"/>
  <c r="G43" i="7"/>
  <c r="F47" i="7"/>
  <c r="K73" i="7"/>
  <c r="J81" i="7"/>
  <c r="M73" i="7"/>
  <c r="T140" i="9" l="1"/>
  <c r="Q156" i="9"/>
  <c r="R140" i="9"/>
  <c r="H21" i="9"/>
  <c r="F21" i="9"/>
  <c r="E23" i="9"/>
  <c r="T192" i="10"/>
  <c r="R192" i="10"/>
  <c r="Q208" i="10"/>
  <c r="J46" i="10"/>
  <c r="I50" i="10"/>
  <c r="L46" i="10"/>
  <c r="E31" i="10"/>
  <c r="H29" i="10"/>
  <c r="F29" i="10"/>
  <c r="N84" i="10"/>
  <c r="M92" i="10"/>
  <c r="P84" i="10"/>
  <c r="D18" i="10"/>
  <c r="A19" i="10"/>
  <c r="B18" i="10"/>
  <c r="D13" i="9"/>
  <c r="A14" i="9"/>
  <c r="B13" i="9"/>
  <c r="P72" i="9"/>
  <c r="M80" i="9"/>
  <c r="N72" i="9"/>
  <c r="J46" i="9"/>
  <c r="I50" i="9"/>
  <c r="L46" i="9"/>
  <c r="I48" i="8"/>
  <c r="L44" i="8"/>
  <c r="J44" i="8"/>
  <c r="T142" i="8"/>
  <c r="R142" i="8"/>
  <c r="Q158" i="8"/>
  <c r="M134" i="8"/>
  <c r="P126" i="8"/>
  <c r="N126" i="8"/>
  <c r="A18" i="8"/>
  <c r="D17" i="8"/>
  <c r="B17" i="8"/>
  <c r="F25" i="8"/>
  <c r="E27" i="8"/>
  <c r="H25" i="8"/>
  <c r="M81" i="7"/>
  <c r="K81" i="7"/>
  <c r="J89" i="7"/>
  <c r="F51" i="7"/>
  <c r="I47" i="7"/>
  <c r="G47" i="7"/>
  <c r="B30" i="7"/>
  <c r="E28" i="7"/>
  <c r="C28" i="7"/>
  <c r="H23" i="9" l="1"/>
  <c r="E25" i="9"/>
  <c r="F23" i="9"/>
  <c r="Q172" i="9"/>
  <c r="T156" i="9"/>
  <c r="R156" i="9"/>
  <c r="A20" i="10"/>
  <c r="D19" i="10"/>
  <c r="B19" i="10"/>
  <c r="F31" i="10"/>
  <c r="H31" i="10"/>
  <c r="E33" i="10"/>
  <c r="J50" i="10"/>
  <c r="I54" i="10"/>
  <c r="L50" i="10"/>
  <c r="N92" i="10"/>
  <c r="M100" i="10"/>
  <c r="P92" i="10"/>
  <c r="T208" i="10"/>
  <c r="R208" i="10"/>
  <c r="L50" i="9"/>
  <c r="J50" i="9"/>
  <c r="I54" i="9"/>
  <c r="P80" i="9"/>
  <c r="M88" i="9"/>
  <c r="N80" i="9"/>
  <c r="B14" i="9"/>
  <c r="A15" i="9"/>
  <c r="D14" i="9"/>
  <c r="H27" i="8"/>
  <c r="F27" i="8"/>
  <c r="E29" i="8"/>
  <c r="P134" i="8"/>
  <c r="N134" i="8"/>
  <c r="M142" i="8"/>
  <c r="B18" i="8"/>
  <c r="D18" i="8"/>
  <c r="A19" i="8"/>
  <c r="T158" i="8"/>
  <c r="R158" i="8"/>
  <c r="I52" i="8"/>
  <c r="L48" i="8"/>
  <c r="J48" i="8"/>
  <c r="F55" i="7"/>
  <c r="I51" i="7"/>
  <c r="G51" i="7"/>
  <c r="M89" i="7"/>
  <c r="K89" i="7"/>
  <c r="J97" i="7"/>
  <c r="B32" i="7"/>
  <c r="C30" i="7"/>
  <c r="E30" i="7"/>
  <c r="T172" i="9" l="1"/>
  <c r="Q188" i="9"/>
  <c r="R172" i="9"/>
  <c r="F25" i="9"/>
  <c r="E27" i="9"/>
  <c r="H25" i="9"/>
  <c r="B20" i="10"/>
  <c r="D20" i="10"/>
  <c r="A21" i="10"/>
  <c r="H33" i="10"/>
  <c r="F33" i="10"/>
  <c r="E35" i="10"/>
  <c r="J54" i="10"/>
  <c r="I58" i="10"/>
  <c r="L54" i="10"/>
  <c r="N100" i="10"/>
  <c r="M108" i="10"/>
  <c r="P100" i="10"/>
  <c r="P88" i="9"/>
  <c r="M96" i="9"/>
  <c r="N88" i="9"/>
  <c r="A16" i="9"/>
  <c r="B15" i="9"/>
  <c r="D15" i="9"/>
  <c r="J54" i="9"/>
  <c r="I58" i="9"/>
  <c r="L54" i="9"/>
  <c r="E31" i="8"/>
  <c r="F29" i="8"/>
  <c r="H29" i="8"/>
  <c r="P142" i="8"/>
  <c r="M150" i="8"/>
  <c r="N142" i="8"/>
  <c r="L52" i="8"/>
  <c r="J52" i="8"/>
  <c r="I56" i="8"/>
  <c r="D19" i="8"/>
  <c r="B19" i="8"/>
  <c r="A20" i="8"/>
  <c r="G55" i="7"/>
  <c r="F59" i="7"/>
  <c r="I55" i="7"/>
  <c r="B34" i="7"/>
  <c r="E32" i="7"/>
  <c r="C32" i="7"/>
  <c r="M97" i="7"/>
  <c r="K97" i="7"/>
  <c r="J105" i="7"/>
  <c r="F27" i="9" l="1"/>
  <c r="E29" i="9"/>
  <c r="H27" i="9"/>
  <c r="T188" i="9"/>
  <c r="R188" i="9"/>
  <c r="Q204" i="9"/>
  <c r="B21" i="10"/>
  <c r="D21" i="10"/>
  <c r="A22" i="10"/>
  <c r="J58" i="10"/>
  <c r="I62" i="10"/>
  <c r="L58" i="10"/>
  <c r="H35" i="10"/>
  <c r="F35" i="10"/>
  <c r="E37" i="10"/>
  <c r="M116" i="10"/>
  <c r="P108" i="10"/>
  <c r="N108" i="10"/>
  <c r="D16" i="9"/>
  <c r="B16" i="9"/>
  <c r="A17" i="9"/>
  <c r="L58" i="9"/>
  <c r="J58" i="9"/>
  <c r="I62" i="9"/>
  <c r="P96" i="9"/>
  <c r="M104" i="9"/>
  <c r="N96" i="9"/>
  <c r="E33" i="8"/>
  <c r="H31" i="8"/>
  <c r="F31" i="8"/>
  <c r="M158" i="8"/>
  <c r="P150" i="8"/>
  <c r="N150" i="8"/>
  <c r="L56" i="8"/>
  <c r="I60" i="8"/>
  <c r="J56" i="8"/>
  <c r="D20" i="8"/>
  <c r="B20" i="8"/>
  <c r="A21" i="8"/>
  <c r="E34" i="7"/>
  <c r="C34" i="7"/>
  <c r="B36" i="7"/>
  <c r="F63" i="7"/>
  <c r="I59" i="7"/>
  <c r="G59" i="7"/>
  <c r="M105" i="7"/>
  <c r="K105" i="7"/>
  <c r="Q220" i="9" l="1"/>
  <c r="T204" i="9"/>
  <c r="R204" i="9"/>
  <c r="H29" i="9"/>
  <c r="F29" i="9"/>
  <c r="E31" i="9"/>
  <c r="J62" i="10"/>
  <c r="I66" i="10"/>
  <c r="L62" i="10"/>
  <c r="D22" i="10"/>
  <c r="A23" i="10"/>
  <c r="B22" i="10"/>
  <c r="M124" i="10"/>
  <c r="P116" i="10"/>
  <c r="N116" i="10"/>
  <c r="H37" i="10"/>
  <c r="F37" i="10"/>
  <c r="E39" i="10"/>
  <c r="J62" i="9"/>
  <c r="I66" i="9"/>
  <c r="L62" i="9"/>
  <c r="P104" i="9"/>
  <c r="N104" i="9"/>
  <c r="M112" i="9"/>
  <c r="B17" i="9"/>
  <c r="A18" i="9"/>
  <c r="D17" i="9"/>
  <c r="A22" i="8"/>
  <c r="D21" i="8"/>
  <c r="B21" i="8"/>
  <c r="N158" i="8"/>
  <c r="P158" i="8"/>
  <c r="I64" i="8"/>
  <c r="J60" i="8"/>
  <c r="L60" i="8"/>
  <c r="E35" i="8"/>
  <c r="H33" i="8"/>
  <c r="F33" i="8"/>
  <c r="G63" i="7"/>
  <c r="I63" i="7"/>
  <c r="F67" i="7"/>
  <c r="B38" i="7"/>
  <c r="E36" i="7"/>
  <c r="C36" i="7"/>
  <c r="H31" i="9" l="1"/>
  <c r="F31" i="9"/>
  <c r="E33" i="9"/>
  <c r="Q236" i="9"/>
  <c r="T220" i="9"/>
  <c r="R220" i="9"/>
  <c r="P124" i="10"/>
  <c r="N124" i="10"/>
  <c r="M132" i="10"/>
  <c r="A24" i="10"/>
  <c r="D23" i="10"/>
  <c r="B23" i="10"/>
  <c r="H39" i="10"/>
  <c r="E41" i="10"/>
  <c r="F39" i="10"/>
  <c r="J66" i="10"/>
  <c r="I70" i="10"/>
  <c r="L66" i="10"/>
  <c r="D18" i="9"/>
  <c r="B18" i="9"/>
  <c r="A19" i="9"/>
  <c r="I70" i="9"/>
  <c r="J66" i="9"/>
  <c r="L66" i="9"/>
  <c r="P112" i="9"/>
  <c r="N112" i="9"/>
  <c r="M120" i="9"/>
  <c r="L64" i="8"/>
  <c r="I68" i="8"/>
  <c r="J64" i="8"/>
  <c r="F35" i="8"/>
  <c r="H35" i="8"/>
  <c r="E37" i="8"/>
  <c r="A23" i="8"/>
  <c r="D22" i="8"/>
  <c r="B22" i="8"/>
  <c r="E38" i="7"/>
  <c r="C38" i="7"/>
  <c r="B40" i="7"/>
  <c r="F71" i="7"/>
  <c r="I67" i="7"/>
  <c r="G67" i="7"/>
  <c r="Q252" i="9" l="1"/>
  <c r="R236" i="9"/>
  <c r="T236" i="9"/>
  <c r="F33" i="9"/>
  <c r="E35" i="9"/>
  <c r="H33" i="9"/>
  <c r="P132" i="10"/>
  <c r="N132" i="10"/>
  <c r="M140" i="10"/>
  <c r="B24" i="10"/>
  <c r="A25" i="10"/>
  <c r="D24" i="10"/>
  <c r="F41" i="10"/>
  <c r="E43" i="10"/>
  <c r="H41" i="10"/>
  <c r="J70" i="10"/>
  <c r="I74" i="10"/>
  <c r="L70" i="10"/>
  <c r="D19" i="9"/>
  <c r="B19" i="9"/>
  <c r="A20" i="9"/>
  <c r="I74" i="9"/>
  <c r="L70" i="9"/>
  <c r="J70" i="9"/>
  <c r="P120" i="9"/>
  <c r="N120" i="9"/>
  <c r="M128" i="9"/>
  <c r="E39" i="8"/>
  <c r="H37" i="8"/>
  <c r="F37" i="8"/>
  <c r="L68" i="8"/>
  <c r="J68" i="8"/>
  <c r="I72" i="8"/>
  <c r="B23" i="8"/>
  <c r="D23" i="8"/>
  <c r="A24" i="8"/>
  <c r="F75" i="7"/>
  <c r="I71" i="7"/>
  <c r="G71" i="7"/>
  <c r="B42" i="7"/>
  <c r="E40" i="7"/>
  <c r="C40" i="7"/>
  <c r="E37" i="9" l="1"/>
  <c r="F35" i="9"/>
  <c r="H35" i="9"/>
  <c r="R252" i="9"/>
  <c r="T252" i="9"/>
  <c r="H43" i="10"/>
  <c r="E45" i="10"/>
  <c r="F43" i="10"/>
  <c r="A26" i="10"/>
  <c r="B25" i="10"/>
  <c r="D25" i="10"/>
  <c r="P140" i="10"/>
  <c r="N140" i="10"/>
  <c r="M148" i="10"/>
  <c r="L74" i="10"/>
  <c r="J74" i="10"/>
  <c r="I78" i="10"/>
  <c r="I78" i="9"/>
  <c r="L74" i="9"/>
  <c r="J74" i="9"/>
  <c r="D20" i="9"/>
  <c r="B20" i="9"/>
  <c r="A21" i="9"/>
  <c r="M136" i="9"/>
  <c r="P128" i="9"/>
  <c r="N128" i="9"/>
  <c r="B24" i="8"/>
  <c r="A25" i="8"/>
  <c r="D24" i="8"/>
  <c r="L72" i="8"/>
  <c r="I76" i="8"/>
  <c r="J72" i="8"/>
  <c r="F39" i="8"/>
  <c r="H39" i="8"/>
  <c r="E41" i="8"/>
  <c r="B44" i="7"/>
  <c r="C42" i="7"/>
  <c r="E42" i="7"/>
  <c r="G75" i="7"/>
  <c r="F79" i="7"/>
  <c r="I75" i="7"/>
  <c r="E39" i="9" l="1"/>
  <c r="H37" i="9"/>
  <c r="F37" i="9"/>
  <c r="P148" i="10"/>
  <c r="N148" i="10"/>
  <c r="M156" i="10"/>
  <c r="L78" i="10"/>
  <c r="J78" i="10"/>
  <c r="I82" i="10"/>
  <c r="D26" i="10"/>
  <c r="A27" i="10"/>
  <c r="B26" i="10"/>
  <c r="E47" i="10"/>
  <c r="H45" i="10"/>
  <c r="F45" i="10"/>
  <c r="M144" i="9"/>
  <c r="P136" i="9"/>
  <c r="N136" i="9"/>
  <c r="B21" i="9"/>
  <c r="A22" i="9"/>
  <c r="D21" i="9"/>
  <c r="I82" i="9"/>
  <c r="J78" i="9"/>
  <c r="L78" i="9"/>
  <c r="L76" i="8"/>
  <c r="J76" i="8"/>
  <c r="I80" i="8"/>
  <c r="D25" i="8"/>
  <c r="B25" i="8"/>
  <c r="A26" i="8"/>
  <c r="F41" i="8"/>
  <c r="E43" i="8"/>
  <c r="H41" i="8"/>
  <c r="F83" i="7"/>
  <c r="I79" i="7"/>
  <c r="G79" i="7"/>
  <c r="B46" i="7"/>
  <c r="C44" i="7"/>
  <c r="E44" i="7"/>
  <c r="H39" i="9" l="1"/>
  <c r="E41" i="9"/>
  <c r="F39" i="9"/>
  <c r="H47" i="10"/>
  <c r="E49" i="10"/>
  <c r="F47" i="10"/>
  <c r="A28" i="10"/>
  <c r="B27" i="10"/>
  <c r="D27" i="10"/>
  <c r="L82" i="10"/>
  <c r="J82" i="10"/>
  <c r="I86" i="10"/>
  <c r="N156" i="10"/>
  <c r="M164" i="10"/>
  <c r="P156" i="10"/>
  <c r="A23" i="9"/>
  <c r="D22" i="9"/>
  <c r="B22" i="9"/>
  <c r="I86" i="9"/>
  <c r="L82" i="9"/>
  <c r="J82" i="9"/>
  <c r="M152" i="9"/>
  <c r="P144" i="9"/>
  <c r="N144" i="9"/>
  <c r="E45" i="8"/>
  <c r="F43" i="8"/>
  <c r="H43" i="8"/>
  <c r="A27" i="8"/>
  <c r="D26" i="8"/>
  <c r="B26" i="8"/>
  <c r="L80" i="8"/>
  <c r="J80" i="8"/>
  <c r="I84" i="8"/>
  <c r="B48" i="7"/>
  <c r="E46" i="7"/>
  <c r="C46" i="7"/>
  <c r="I83" i="7"/>
  <c r="G83" i="7"/>
  <c r="F87" i="7"/>
  <c r="H41" i="9" l="1"/>
  <c r="F41" i="9"/>
  <c r="E43" i="9"/>
  <c r="A29" i="10"/>
  <c r="D28" i="10"/>
  <c r="B28" i="10"/>
  <c r="M172" i="10"/>
  <c r="N164" i="10"/>
  <c r="P164" i="10"/>
  <c r="E51" i="10"/>
  <c r="H49" i="10"/>
  <c r="F49" i="10"/>
  <c r="I90" i="10"/>
  <c r="L86" i="10"/>
  <c r="J86" i="10"/>
  <c r="I90" i="9"/>
  <c r="L86" i="9"/>
  <c r="J86" i="9"/>
  <c r="P152" i="9"/>
  <c r="M160" i="9"/>
  <c r="N152" i="9"/>
  <c r="D23" i="9"/>
  <c r="B23" i="9"/>
  <c r="A24" i="9"/>
  <c r="A28" i="8"/>
  <c r="D27" i="8"/>
  <c r="B27" i="8"/>
  <c r="I88" i="8"/>
  <c r="L84" i="8"/>
  <c r="J84" i="8"/>
  <c r="E47" i="8"/>
  <c r="H45" i="8"/>
  <c r="F45" i="8"/>
  <c r="F91" i="7"/>
  <c r="I87" i="7"/>
  <c r="G87" i="7"/>
  <c r="B50" i="7"/>
  <c r="E48" i="7"/>
  <c r="C48" i="7"/>
  <c r="E45" i="9" l="1"/>
  <c r="H43" i="9"/>
  <c r="F43" i="9"/>
  <c r="I94" i="10"/>
  <c r="J90" i="10"/>
  <c r="L90" i="10"/>
  <c r="H51" i="10"/>
  <c r="E53" i="10"/>
  <c r="F51" i="10"/>
  <c r="M180" i="10"/>
  <c r="P172" i="10"/>
  <c r="N172" i="10"/>
  <c r="B29" i="10"/>
  <c r="A30" i="10"/>
  <c r="D29" i="10"/>
  <c r="P160" i="9"/>
  <c r="N160" i="9"/>
  <c r="M168" i="9"/>
  <c r="I94" i="9"/>
  <c r="L90" i="9"/>
  <c r="J90" i="9"/>
  <c r="B24" i="9"/>
  <c r="A25" i="9"/>
  <c r="D24" i="9"/>
  <c r="H47" i="8"/>
  <c r="E49" i="8"/>
  <c r="F47" i="8"/>
  <c r="L88" i="8"/>
  <c r="I92" i="8"/>
  <c r="J88" i="8"/>
  <c r="B28" i="8"/>
  <c r="A29" i="8"/>
  <c r="D28" i="8"/>
  <c r="C50" i="7"/>
  <c r="B52" i="7"/>
  <c r="E50" i="7"/>
  <c r="I91" i="7"/>
  <c r="G91" i="7"/>
  <c r="F95" i="7"/>
  <c r="E47" i="9" l="1"/>
  <c r="F45" i="9"/>
  <c r="H45" i="9"/>
  <c r="M188" i="10"/>
  <c r="P180" i="10"/>
  <c r="N180" i="10"/>
  <c r="E55" i="10"/>
  <c r="H53" i="10"/>
  <c r="F53" i="10"/>
  <c r="D30" i="10"/>
  <c r="B30" i="10"/>
  <c r="A31" i="10"/>
  <c r="I98" i="10"/>
  <c r="L94" i="10"/>
  <c r="J94" i="10"/>
  <c r="P168" i="9"/>
  <c r="M176" i="9"/>
  <c r="N168" i="9"/>
  <c r="D25" i="9"/>
  <c r="B25" i="9"/>
  <c r="A26" i="9"/>
  <c r="I98" i="9"/>
  <c r="J94" i="9"/>
  <c r="L94" i="9"/>
  <c r="D29" i="8"/>
  <c r="B29" i="8"/>
  <c r="A30" i="8"/>
  <c r="J92" i="8"/>
  <c r="I96" i="8"/>
  <c r="L92" i="8"/>
  <c r="F49" i="8"/>
  <c r="H49" i="8"/>
  <c r="E51" i="8"/>
  <c r="F99" i="7"/>
  <c r="I95" i="7"/>
  <c r="G95" i="7"/>
  <c r="C52" i="7"/>
  <c r="B54" i="7"/>
  <c r="E52" i="7"/>
  <c r="H47" i="9" l="1"/>
  <c r="E49" i="9"/>
  <c r="F47" i="9"/>
  <c r="I102" i="10"/>
  <c r="L98" i="10"/>
  <c r="J98" i="10"/>
  <c r="H55" i="10"/>
  <c r="F55" i="10"/>
  <c r="E57" i="10"/>
  <c r="B31" i="10"/>
  <c r="A32" i="10"/>
  <c r="D31" i="10"/>
  <c r="P188" i="10"/>
  <c r="N188" i="10"/>
  <c r="M196" i="10"/>
  <c r="L98" i="9"/>
  <c r="I102" i="9"/>
  <c r="J98" i="9"/>
  <c r="D26" i="9"/>
  <c r="B26" i="9"/>
  <c r="A27" i="9"/>
  <c r="P176" i="9"/>
  <c r="M184" i="9"/>
  <c r="N176" i="9"/>
  <c r="L96" i="8"/>
  <c r="I100" i="8"/>
  <c r="J96" i="8"/>
  <c r="A31" i="8"/>
  <c r="D30" i="8"/>
  <c r="B30" i="8"/>
  <c r="E53" i="8"/>
  <c r="H51" i="8"/>
  <c r="F51" i="8"/>
  <c r="I99" i="7"/>
  <c r="F103" i="7"/>
  <c r="G99" i="7"/>
  <c r="E54" i="7"/>
  <c r="C54" i="7"/>
  <c r="B56" i="7"/>
  <c r="H49" i="9" l="1"/>
  <c r="F49" i="9"/>
  <c r="E51" i="9"/>
  <c r="A33" i="10"/>
  <c r="D32" i="10"/>
  <c r="B32" i="10"/>
  <c r="H57" i="10"/>
  <c r="F57" i="10"/>
  <c r="E59" i="10"/>
  <c r="P196" i="10"/>
  <c r="N196" i="10"/>
  <c r="M204" i="10"/>
  <c r="I106" i="10"/>
  <c r="L102" i="10"/>
  <c r="J102" i="10"/>
  <c r="J102" i="9"/>
  <c r="I106" i="9"/>
  <c r="L102" i="9"/>
  <c r="P184" i="9"/>
  <c r="M192" i="9"/>
  <c r="N184" i="9"/>
  <c r="A28" i="9"/>
  <c r="D27" i="9"/>
  <c r="B27" i="9"/>
  <c r="D31" i="8"/>
  <c r="B31" i="8"/>
  <c r="A32" i="8"/>
  <c r="I104" i="8"/>
  <c r="L100" i="8"/>
  <c r="J100" i="8"/>
  <c r="E55" i="8"/>
  <c r="H53" i="8"/>
  <c r="F53" i="8"/>
  <c r="G103" i="7"/>
  <c r="I103" i="7"/>
  <c r="F107" i="7"/>
  <c r="E56" i="7"/>
  <c r="B58" i="7"/>
  <c r="C56" i="7"/>
  <c r="E53" i="9" l="1"/>
  <c r="H51" i="9"/>
  <c r="F51" i="9"/>
  <c r="B33" i="10"/>
  <c r="A34" i="10"/>
  <c r="D33" i="10"/>
  <c r="P204" i="10"/>
  <c r="N204" i="10"/>
  <c r="M212" i="10"/>
  <c r="H59" i="10"/>
  <c r="F59" i="10"/>
  <c r="E61" i="10"/>
  <c r="J106" i="10"/>
  <c r="I110" i="10"/>
  <c r="L106" i="10"/>
  <c r="N192" i="9"/>
  <c r="M200" i="9"/>
  <c r="P192" i="9"/>
  <c r="D28" i="9"/>
  <c r="A29" i="9"/>
  <c r="B28" i="9"/>
  <c r="I110" i="9"/>
  <c r="L106" i="9"/>
  <c r="J106" i="9"/>
  <c r="F55" i="8"/>
  <c r="H55" i="8"/>
  <c r="E57" i="8"/>
  <c r="L104" i="8"/>
  <c r="I108" i="8"/>
  <c r="J104" i="8"/>
  <c r="B32" i="8"/>
  <c r="A33" i="8"/>
  <c r="D32" i="8"/>
  <c r="E58" i="7"/>
  <c r="C58" i="7"/>
  <c r="B60" i="7"/>
  <c r="I107" i="7"/>
  <c r="G107" i="7"/>
  <c r="E55" i="9" l="1"/>
  <c r="H53" i="9"/>
  <c r="F53" i="9"/>
  <c r="P212" i="10"/>
  <c r="N212" i="10"/>
  <c r="M220" i="10"/>
  <c r="L110" i="10"/>
  <c r="I114" i="10"/>
  <c r="J110" i="10"/>
  <c r="D34" i="10"/>
  <c r="A35" i="10"/>
  <c r="B34" i="10"/>
  <c r="H61" i="10"/>
  <c r="F61" i="10"/>
  <c r="E63" i="10"/>
  <c r="B29" i="9"/>
  <c r="A30" i="9"/>
  <c r="D29" i="9"/>
  <c r="N200" i="9"/>
  <c r="M208" i="9"/>
  <c r="P200" i="9"/>
  <c r="J110" i="9"/>
  <c r="I114" i="9"/>
  <c r="L110" i="9"/>
  <c r="A34" i="8"/>
  <c r="D33" i="8"/>
  <c r="B33" i="8"/>
  <c r="J108" i="8"/>
  <c r="I112" i="8"/>
  <c r="L108" i="8"/>
  <c r="E59" i="8"/>
  <c r="H57" i="8"/>
  <c r="F57" i="8"/>
  <c r="E60" i="7"/>
  <c r="C60" i="7"/>
  <c r="B62" i="7"/>
  <c r="H55" i="9" l="1"/>
  <c r="E57" i="9"/>
  <c r="F55" i="9"/>
  <c r="D35" i="10"/>
  <c r="B35" i="10"/>
  <c r="A36" i="10"/>
  <c r="L114" i="10"/>
  <c r="I118" i="10"/>
  <c r="J114" i="10"/>
  <c r="H63" i="10"/>
  <c r="F63" i="10"/>
  <c r="E65" i="10"/>
  <c r="N220" i="10"/>
  <c r="P220" i="10"/>
  <c r="I118" i="9"/>
  <c r="L114" i="9"/>
  <c r="J114" i="9"/>
  <c r="N208" i="9"/>
  <c r="M216" i="9"/>
  <c r="P208" i="9"/>
  <c r="A31" i="9"/>
  <c r="B30" i="9"/>
  <c r="D30" i="9"/>
  <c r="H59" i="8"/>
  <c r="F59" i="8"/>
  <c r="E61" i="8"/>
  <c r="L112" i="8"/>
  <c r="I116" i="8"/>
  <c r="J112" i="8"/>
  <c r="D34" i="8"/>
  <c r="A35" i="8"/>
  <c r="B34" i="8"/>
  <c r="E62" i="7"/>
  <c r="C62" i="7"/>
  <c r="B64" i="7"/>
  <c r="H57" i="9" l="1"/>
  <c r="F57" i="9"/>
  <c r="E59" i="9"/>
  <c r="A37" i="10"/>
  <c r="D36" i="10"/>
  <c r="B36" i="10"/>
  <c r="L118" i="10"/>
  <c r="J118" i="10"/>
  <c r="I122" i="10"/>
  <c r="H65" i="10"/>
  <c r="F65" i="10"/>
  <c r="E67" i="10"/>
  <c r="N216" i="9"/>
  <c r="P216" i="9"/>
  <c r="M224" i="9"/>
  <c r="D31" i="9"/>
  <c r="B31" i="9"/>
  <c r="A32" i="9"/>
  <c r="J118" i="9"/>
  <c r="I122" i="9"/>
  <c r="L118" i="9"/>
  <c r="J116" i="8"/>
  <c r="L116" i="8"/>
  <c r="I120" i="8"/>
  <c r="H61" i="8"/>
  <c r="F61" i="8"/>
  <c r="E63" i="8"/>
  <c r="A36" i="8"/>
  <c r="D35" i="8"/>
  <c r="B35" i="8"/>
  <c r="B66" i="7"/>
  <c r="E64" i="7"/>
  <c r="C64" i="7"/>
  <c r="E61" i="9" l="1"/>
  <c r="H59" i="9"/>
  <c r="F59" i="9"/>
  <c r="H67" i="10"/>
  <c r="F67" i="10"/>
  <c r="E69" i="10"/>
  <c r="J122" i="10"/>
  <c r="L122" i="10"/>
  <c r="I126" i="10"/>
  <c r="B37" i="10"/>
  <c r="A38" i="10"/>
  <c r="D37" i="10"/>
  <c r="B32" i="9"/>
  <c r="A33" i="9"/>
  <c r="D32" i="9"/>
  <c r="N224" i="9"/>
  <c r="M232" i="9"/>
  <c r="P224" i="9"/>
  <c r="I126" i="9"/>
  <c r="L122" i="9"/>
  <c r="J122" i="9"/>
  <c r="A37" i="8"/>
  <c r="B36" i="8"/>
  <c r="D36" i="8"/>
  <c r="H63" i="8"/>
  <c r="F63" i="8"/>
  <c r="E65" i="8"/>
  <c r="L120" i="8"/>
  <c r="J120" i="8"/>
  <c r="I124" i="8"/>
  <c r="E66" i="7"/>
  <c r="C66" i="7"/>
  <c r="B68" i="7"/>
  <c r="E63" i="9" l="1"/>
  <c r="H61" i="9"/>
  <c r="F61" i="9"/>
  <c r="J126" i="10"/>
  <c r="L126" i="10"/>
  <c r="I130" i="10"/>
  <c r="H69" i="10"/>
  <c r="F69" i="10"/>
  <c r="E71" i="10"/>
  <c r="D38" i="10"/>
  <c r="A39" i="10"/>
  <c r="B38" i="10"/>
  <c r="N232" i="9"/>
  <c r="M240" i="9"/>
  <c r="P232" i="9"/>
  <c r="D33" i="9"/>
  <c r="B33" i="9"/>
  <c r="A34" i="9"/>
  <c r="J126" i="9"/>
  <c r="I130" i="9"/>
  <c r="L126" i="9"/>
  <c r="E67" i="8"/>
  <c r="F65" i="8"/>
  <c r="H65" i="8"/>
  <c r="I128" i="8"/>
  <c r="L124" i="8"/>
  <c r="J124" i="8"/>
  <c r="B37" i="8"/>
  <c r="A38" i="8"/>
  <c r="D37" i="8"/>
  <c r="B70" i="7"/>
  <c r="E68" i="7"/>
  <c r="C68" i="7"/>
  <c r="E65" i="9" l="1"/>
  <c r="F63" i="9"/>
  <c r="H63" i="9"/>
  <c r="D39" i="10"/>
  <c r="B39" i="10"/>
  <c r="A40" i="10"/>
  <c r="H71" i="10"/>
  <c r="E73" i="10"/>
  <c r="F71" i="10"/>
  <c r="J130" i="10"/>
  <c r="L130" i="10"/>
  <c r="I134" i="10"/>
  <c r="N240" i="9"/>
  <c r="P240" i="9"/>
  <c r="M248" i="9"/>
  <c r="L130" i="9"/>
  <c r="J130" i="9"/>
  <c r="I134" i="9"/>
  <c r="D34" i="9"/>
  <c r="B34" i="9"/>
  <c r="A35" i="9"/>
  <c r="H67" i="8"/>
  <c r="F67" i="8"/>
  <c r="E69" i="8"/>
  <c r="D38" i="8"/>
  <c r="B38" i="8"/>
  <c r="A39" i="8"/>
  <c r="L128" i="8"/>
  <c r="I132" i="8"/>
  <c r="J128" i="8"/>
  <c r="B72" i="7"/>
  <c r="C70" i="7"/>
  <c r="E70" i="7"/>
  <c r="E67" i="9" l="1"/>
  <c r="F65" i="9"/>
  <c r="H65" i="9"/>
  <c r="A41" i="10"/>
  <c r="D40" i="10"/>
  <c r="B40" i="10"/>
  <c r="H73" i="10"/>
  <c r="F73" i="10"/>
  <c r="E75" i="10"/>
  <c r="I138" i="10"/>
  <c r="J134" i="10"/>
  <c r="L134" i="10"/>
  <c r="M256" i="9"/>
  <c r="P248" i="9"/>
  <c r="N248" i="9"/>
  <c r="A36" i="9"/>
  <c r="D35" i="9"/>
  <c r="B35" i="9"/>
  <c r="I138" i="9"/>
  <c r="L134" i="9"/>
  <c r="J134" i="9"/>
  <c r="J132" i="8"/>
  <c r="L132" i="8"/>
  <c r="I136" i="8"/>
  <c r="D39" i="8"/>
  <c r="A40" i="8"/>
  <c r="B39" i="8"/>
  <c r="H69" i="8"/>
  <c r="E71" i="8"/>
  <c r="F69" i="8"/>
  <c r="C72" i="7"/>
  <c r="B74" i="7"/>
  <c r="E72" i="7"/>
  <c r="H67" i="9" l="1"/>
  <c r="E69" i="9"/>
  <c r="F67" i="9"/>
  <c r="I142" i="10"/>
  <c r="L138" i="10"/>
  <c r="J138" i="10"/>
  <c r="B41" i="10"/>
  <c r="A42" i="10"/>
  <c r="D41" i="10"/>
  <c r="E77" i="10"/>
  <c r="H75" i="10"/>
  <c r="F75" i="10"/>
  <c r="A37" i="9"/>
  <c r="D36" i="9"/>
  <c r="B36" i="9"/>
  <c r="L138" i="9"/>
  <c r="I142" i="9"/>
  <c r="J138" i="9"/>
  <c r="P256" i="9"/>
  <c r="N256" i="9"/>
  <c r="E73" i="8"/>
  <c r="H71" i="8"/>
  <c r="F71" i="8"/>
  <c r="A41" i="8"/>
  <c r="D40" i="8"/>
  <c r="B40" i="8"/>
  <c r="L136" i="8"/>
  <c r="J136" i="8"/>
  <c r="I140" i="8"/>
  <c r="E74" i="7"/>
  <c r="C74" i="7"/>
  <c r="B76" i="7"/>
  <c r="H69" i="9" l="1"/>
  <c r="E71" i="9"/>
  <c r="F69" i="9"/>
  <c r="B42" i="10"/>
  <c r="D42" i="10"/>
  <c r="A43" i="10"/>
  <c r="H77" i="10"/>
  <c r="F77" i="10"/>
  <c r="E79" i="10"/>
  <c r="I146" i="10"/>
  <c r="L142" i="10"/>
  <c r="J142" i="10"/>
  <c r="I146" i="9"/>
  <c r="L142" i="9"/>
  <c r="J142" i="9"/>
  <c r="B37" i="9"/>
  <c r="A38" i="9"/>
  <c r="D37" i="9"/>
  <c r="A42" i="8"/>
  <c r="D41" i="8"/>
  <c r="B41" i="8"/>
  <c r="L140" i="8"/>
  <c r="J140" i="8"/>
  <c r="I144" i="8"/>
  <c r="E75" i="8"/>
  <c r="H73" i="8"/>
  <c r="F73" i="8"/>
  <c r="B78" i="7"/>
  <c r="E76" i="7"/>
  <c r="C76" i="7"/>
  <c r="F71" i="9" l="1"/>
  <c r="E73" i="9"/>
  <c r="H71" i="9"/>
  <c r="A44" i="10"/>
  <c r="D43" i="10"/>
  <c r="B43" i="10"/>
  <c r="I150" i="10"/>
  <c r="L146" i="10"/>
  <c r="J146" i="10"/>
  <c r="E81" i="10"/>
  <c r="H79" i="10"/>
  <c r="F79" i="10"/>
  <c r="D38" i="9"/>
  <c r="B38" i="9"/>
  <c r="A39" i="9"/>
  <c r="I150" i="9"/>
  <c r="L146" i="9"/>
  <c r="J146" i="9"/>
  <c r="L144" i="8"/>
  <c r="I148" i="8"/>
  <c r="J144" i="8"/>
  <c r="B42" i="8"/>
  <c r="D42" i="8"/>
  <c r="A43" i="8"/>
  <c r="F75" i="8"/>
  <c r="E77" i="8"/>
  <c r="H75" i="8"/>
  <c r="C78" i="7"/>
  <c r="B80" i="7"/>
  <c r="E78" i="7"/>
  <c r="F73" i="9" l="1"/>
  <c r="E75" i="9"/>
  <c r="H73" i="9"/>
  <c r="H81" i="10"/>
  <c r="F81" i="10"/>
  <c r="E83" i="10"/>
  <c r="I154" i="10"/>
  <c r="L150" i="10"/>
  <c r="J150" i="10"/>
  <c r="B44" i="10"/>
  <c r="A45" i="10"/>
  <c r="D44" i="10"/>
  <c r="I154" i="9"/>
  <c r="J150" i="9"/>
  <c r="L150" i="9"/>
  <c r="D39" i="9"/>
  <c r="B39" i="9"/>
  <c r="A40" i="9"/>
  <c r="H77" i="8"/>
  <c r="F77" i="8"/>
  <c r="E79" i="8"/>
  <c r="A44" i="8"/>
  <c r="D43" i="8"/>
  <c r="B43" i="8"/>
  <c r="I152" i="8"/>
  <c r="L148" i="8"/>
  <c r="J148" i="8"/>
  <c r="C80" i="7"/>
  <c r="B82" i="7"/>
  <c r="E80" i="7"/>
  <c r="H75" i="9" l="1"/>
  <c r="F75" i="9"/>
  <c r="E77" i="9"/>
  <c r="D45" i="10"/>
  <c r="B45" i="10"/>
  <c r="A46" i="10"/>
  <c r="L154" i="10"/>
  <c r="J154" i="10"/>
  <c r="I158" i="10"/>
  <c r="E85" i="10"/>
  <c r="H83" i="10"/>
  <c r="F83" i="10"/>
  <c r="A41" i="9"/>
  <c r="D40" i="9"/>
  <c r="B40" i="9"/>
  <c r="I158" i="9"/>
  <c r="L154" i="9"/>
  <c r="J154" i="9"/>
  <c r="I156" i="8"/>
  <c r="J152" i="8"/>
  <c r="L152" i="8"/>
  <c r="H79" i="8"/>
  <c r="F79" i="8"/>
  <c r="E81" i="8"/>
  <c r="D44" i="8"/>
  <c r="B44" i="8"/>
  <c r="A45" i="8"/>
  <c r="B84" i="7"/>
  <c r="E82" i="7"/>
  <c r="C82" i="7"/>
  <c r="H77" i="9" l="1"/>
  <c r="E79" i="9"/>
  <c r="F77" i="9"/>
  <c r="H85" i="10"/>
  <c r="E87" i="10"/>
  <c r="F85" i="10"/>
  <c r="L158" i="10"/>
  <c r="J158" i="10"/>
  <c r="I162" i="10"/>
  <c r="B46" i="10"/>
  <c r="D46" i="10"/>
  <c r="A47" i="10"/>
  <c r="J158" i="9"/>
  <c r="I162" i="9"/>
  <c r="L158" i="9"/>
  <c r="D41" i="9"/>
  <c r="A42" i="9"/>
  <c r="B41" i="9"/>
  <c r="H81" i="8"/>
  <c r="F81" i="8"/>
  <c r="E83" i="8"/>
  <c r="A46" i="8"/>
  <c r="D45" i="8"/>
  <c r="B45" i="8"/>
  <c r="L156" i="8"/>
  <c r="J156" i="8"/>
  <c r="I160" i="8"/>
  <c r="B86" i="7"/>
  <c r="E84" i="7"/>
  <c r="C84" i="7"/>
  <c r="F79" i="9" l="1"/>
  <c r="E81" i="9"/>
  <c r="H79" i="9"/>
  <c r="A48" i="10"/>
  <c r="D47" i="10"/>
  <c r="B47" i="10"/>
  <c r="L162" i="10"/>
  <c r="J162" i="10"/>
  <c r="I166" i="10"/>
  <c r="H87" i="10"/>
  <c r="F87" i="10"/>
  <c r="E89" i="10"/>
  <c r="B42" i="9"/>
  <c r="A43" i="9"/>
  <c r="D42" i="9"/>
  <c r="I166" i="9"/>
  <c r="L162" i="9"/>
  <c r="J162" i="9"/>
  <c r="H83" i="8"/>
  <c r="F83" i="8"/>
  <c r="E85" i="8"/>
  <c r="D46" i="8"/>
  <c r="B46" i="8"/>
  <c r="A47" i="8"/>
  <c r="L160" i="8"/>
  <c r="I164" i="8"/>
  <c r="J160" i="8"/>
  <c r="E86" i="7"/>
  <c r="C86" i="7"/>
  <c r="B88" i="7"/>
  <c r="F81" i="9" l="1"/>
  <c r="E83" i="9"/>
  <c r="H81" i="9"/>
  <c r="L166" i="10"/>
  <c r="J166" i="10"/>
  <c r="I170" i="10"/>
  <c r="H89" i="10"/>
  <c r="F89" i="10"/>
  <c r="E91" i="10"/>
  <c r="A49" i="10"/>
  <c r="D48" i="10"/>
  <c r="B48" i="10"/>
  <c r="I170" i="9"/>
  <c r="L166" i="9"/>
  <c r="J166" i="9"/>
  <c r="A44" i="9"/>
  <c r="D43" i="9"/>
  <c r="B43" i="9"/>
  <c r="I168" i="8"/>
  <c r="L164" i="8"/>
  <c r="J164" i="8"/>
  <c r="D47" i="8"/>
  <c r="B47" i="8"/>
  <c r="A48" i="8"/>
  <c r="E87" i="8"/>
  <c r="H85" i="8"/>
  <c r="F85" i="8"/>
  <c r="B90" i="7"/>
  <c r="E88" i="7"/>
  <c r="C88" i="7"/>
  <c r="H83" i="9" l="1"/>
  <c r="F83" i="9"/>
  <c r="E85" i="9"/>
  <c r="H91" i="10"/>
  <c r="F91" i="10"/>
  <c r="E93" i="10"/>
  <c r="L170" i="10"/>
  <c r="J170" i="10"/>
  <c r="I174" i="10"/>
  <c r="D49" i="10"/>
  <c r="B49" i="10"/>
  <c r="A50" i="10"/>
  <c r="D44" i="9"/>
  <c r="B44" i="9"/>
  <c r="A45" i="9"/>
  <c r="L170" i="9"/>
  <c r="J170" i="9"/>
  <c r="I174" i="9"/>
  <c r="A49" i="8"/>
  <c r="D48" i="8"/>
  <c r="B48" i="8"/>
  <c r="F87" i="8"/>
  <c r="E89" i="8"/>
  <c r="H87" i="8"/>
  <c r="I172" i="8"/>
  <c r="J168" i="8"/>
  <c r="L168" i="8"/>
  <c r="C90" i="7"/>
  <c r="B92" i="7"/>
  <c r="E90" i="7"/>
  <c r="H85" i="9" l="1"/>
  <c r="E87" i="9"/>
  <c r="F85" i="9"/>
  <c r="B50" i="10"/>
  <c r="D50" i="10"/>
  <c r="A51" i="10"/>
  <c r="L174" i="10"/>
  <c r="J174" i="10"/>
  <c r="I178" i="10"/>
  <c r="H93" i="10"/>
  <c r="F93" i="10"/>
  <c r="E95" i="10"/>
  <c r="I178" i="9"/>
  <c r="L174" i="9"/>
  <c r="J174" i="9"/>
  <c r="B45" i="9"/>
  <c r="A46" i="9"/>
  <c r="D45" i="9"/>
  <c r="E91" i="8"/>
  <c r="H89" i="8"/>
  <c r="F89" i="8"/>
  <c r="J172" i="8"/>
  <c r="L172" i="8"/>
  <c r="D49" i="8"/>
  <c r="B49" i="8"/>
  <c r="A50" i="8"/>
  <c r="C92" i="7"/>
  <c r="B94" i="7"/>
  <c r="E92" i="7"/>
  <c r="F87" i="9" l="1"/>
  <c r="E89" i="9"/>
  <c r="H87" i="9"/>
  <c r="L178" i="10"/>
  <c r="J178" i="10"/>
  <c r="I182" i="10"/>
  <c r="A52" i="10"/>
  <c r="D51" i="10"/>
  <c r="B51" i="10"/>
  <c r="H95" i="10"/>
  <c r="F95" i="10"/>
  <c r="E97" i="10"/>
  <c r="D46" i="9"/>
  <c r="B46" i="9"/>
  <c r="A47" i="9"/>
  <c r="L178" i="9"/>
  <c r="I182" i="9"/>
  <c r="J178" i="9"/>
  <c r="A51" i="8"/>
  <c r="B50" i="8"/>
  <c r="D50" i="8"/>
  <c r="E93" i="8"/>
  <c r="F91" i="8"/>
  <c r="H91" i="8"/>
  <c r="E94" i="7"/>
  <c r="C94" i="7"/>
  <c r="B96" i="7"/>
  <c r="F89" i="9" l="1"/>
  <c r="E91" i="9"/>
  <c r="H89" i="9"/>
  <c r="A53" i="10"/>
  <c r="B52" i="10"/>
  <c r="D52" i="10"/>
  <c r="L182" i="10"/>
  <c r="J182" i="10"/>
  <c r="I186" i="10"/>
  <c r="H97" i="10"/>
  <c r="F97" i="10"/>
  <c r="E99" i="10"/>
  <c r="I186" i="9"/>
  <c r="L182" i="9"/>
  <c r="J182" i="9"/>
  <c r="D47" i="9"/>
  <c r="B47" i="9"/>
  <c r="A48" i="9"/>
  <c r="H93" i="8"/>
  <c r="F93" i="8"/>
  <c r="E95" i="8"/>
  <c r="A52" i="8"/>
  <c r="D51" i="8"/>
  <c r="B51" i="8"/>
  <c r="B98" i="7"/>
  <c r="E96" i="7"/>
  <c r="C96" i="7"/>
  <c r="H91" i="9" l="1"/>
  <c r="F91" i="9"/>
  <c r="E93" i="9"/>
  <c r="J186" i="10"/>
  <c r="I190" i="10"/>
  <c r="L186" i="10"/>
  <c r="H99" i="10"/>
  <c r="F99" i="10"/>
  <c r="E101" i="10"/>
  <c r="D53" i="10"/>
  <c r="B53" i="10"/>
  <c r="A54" i="10"/>
  <c r="A49" i="9"/>
  <c r="D48" i="9"/>
  <c r="B48" i="9"/>
  <c r="L186" i="9"/>
  <c r="I190" i="9"/>
  <c r="J186" i="9"/>
  <c r="E97" i="8"/>
  <c r="H95" i="8"/>
  <c r="F95" i="8"/>
  <c r="D52" i="8"/>
  <c r="B52" i="8"/>
  <c r="A53" i="8"/>
  <c r="E98" i="7"/>
  <c r="C98" i="7"/>
  <c r="B100" i="7"/>
  <c r="H93" i="9" l="1"/>
  <c r="F93" i="9"/>
  <c r="E95" i="9"/>
  <c r="H101" i="10"/>
  <c r="F101" i="10"/>
  <c r="E103" i="10"/>
  <c r="J190" i="10"/>
  <c r="L190" i="10"/>
  <c r="I194" i="10"/>
  <c r="B54" i="10"/>
  <c r="A55" i="10"/>
  <c r="D54" i="10"/>
  <c r="I194" i="9"/>
  <c r="L190" i="9"/>
  <c r="J190" i="9"/>
  <c r="D49" i="9"/>
  <c r="A50" i="9"/>
  <c r="B49" i="9"/>
  <c r="A54" i="8"/>
  <c r="D53" i="8"/>
  <c r="B53" i="8"/>
  <c r="F97" i="8"/>
  <c r="E99" i="8"/>
  <c r="H97" i="8"/>
  <c r="E100" i="7"/>
  <c r="C100" i="7"/>
  <c r="B102" i="7"/>
  <c r="F95" i="9" l="1"/>
  <c r="E97" i="9"/>
  <c r="H95" i="9"/>
  <c r="J194" i="10"/>
  <c r="L194" i="10"/>
  <c r="I198" i="10"/>
  <c r="H103" i="10"/>
  <c r="E105" i="10"/>
  <c r="F103" i="10"/>
  <c r="A56" i="10"/>
  <c r="D55" i="10"/>
  <c r="B55" i="10"/>
  <c r="B50" i="9"/>
  <c r="A51" i="9"/>
  <c r="D50" i="9"/>
  <c r="L194" i="9"/>
  <c r="J194" i="9"/>
  <c r="I198" i="9"/>
  <c r="H99" i="8"/>
  <c r="F99" i="8"/>
  <c r="E101" i="8"/>
  <c r="D54" i="8"/>
  <c r="B54" i="8"/>
  <c r="A55" i="8"/>
  <c r="E102" i="7"/>
  <c r="C102" i="7"/>
  <c r="B104" i="7"/>
  <c r="D25" i="6"/>
  <c r="D24" i="6"/>
  <c r="D23" i="6"/>
  <c r="D22" i="6"/>
  <c r="F14" i="6"/>
  <c r="F18" i="6" s="1"/>
  <c r="F22" i="6" s="1"/>
  <c r="H10" i="6"/>
  <c r="H14" i="6" s="1"/>
  <c r="H18" i="6" s="1"/>
  <c r="H22" i="6" s="1"/>
  <c r="F10" i="6"/>
  <c r="B6" i="6"/>
  <c r="B7" i="6" s="1"/>
  <c r="H10" i="5"/>
  <c r="H14" i="5" s="1"/>
  <c r="H18" i="5" s="1"/>
  <c r="H22" i="5" s="1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7" i="5"/>
  <c r="F6" i="5"/>
  <c r="F10" i="5" s="1"/>
  <c r="F14" i="5" s="1"/>
  <c r="F18" i="5" s="1"/>
  <c r="F22" i="5" s="1"/>
  <c r="D6" i="5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B6" i="5"/>
  <c r="H92" i="4"/>
  <c r="F92" i="4"/>
  <c r="D92" i="4"/>
  <c r="B92" i="4"/>
  <c r="L91" i="4"/>
  <c r="J91" i="4"/>
  <c r="D91" i="4"/>
  <c r="B91" i="4"/>
  <c r="H90" i="4"/>
  <c r="F90" i="4"/>
  <c r="D90" i="4"/>
  <c r="B90" i="4"/>
  <c r="D89" i="4"/>
  <c r="B89" i="4"/>
  <c r="H88" i="4"/>
  <c r="F88" i="4"/>
  <c r="D88" i="4"/>
  <c r="B88" i="4"/>
  <c r="L87" i="4"/>
  <c r="J87" i="4"/>
  <c r="D87" i="4"/>
  <c r="B87" i="4"/>
  <c r="H86" i="4"/>
  <c r="F86" i="4"/>
  <c r="D86" i="4"/>
  <c r="B86" i="4"/>
  <c r="D85" i="4"/>
  <c r="B85" i="4"/>
  <c r="H84" i="4"/>
  <c r="F84" i="4"/>
  <c r="D84" i="4"/>
  <c r="B84" i="4"/>
  <c r="L83" i="4"/>
  <c r="J83" i="4"/>
  <c r="D83" i="4"/>
  <c r="B83" i="4"/>
  <c r="H82" i="4"/>
  <c r="F82" i="4"/>
  <c r="D82" i="4"/>
  <c r="B82" i="4"/>
  <c r="D81" i="4"/>
  <c r="B81" i="4"/>
  <c r="H80" i="4"/>
  <c r="F80" i="4"/>
  <c r="D80" i="4"/>
  <c r="B80" i="4"/>
  <c r="L79" i="4"/>
  <c r="J79" i="4"/>
  <c r="D79" i="4"/>
  <c r="B79" i="4"/>
  <c r="H78" i="4"/>
  <c r="F78" i="4"/>
  <c r="D78" i="4"/>
  <c r="B78" i="4"/>
  <c r="D77" i="4"/>
  <c r="B77" i="4"/>
  <c r="H76" i="4"/>
  <c r="F76" i="4"/>
  <c r="D76" i="4"/>
  <c r="B76" i="4"/>
  <c r="L75" i="4"/>
  <c r="J75" i="4"/>
  <c r="D75" i="4"/>
  <c r="B75" i="4"/>
  <c r="H74" i="4"/>
  <c r="F74" i="4"/>
  <c r="D74" i="4"/>
  <c r="B74" i="4"/>
  <c r="D73" i="4"/>
  <c r="B73" i="4"/>
  <c r="H72" i="4"/>
  <c r="F72" i="4"/>
  <c r="D72" i="4"/>
  <c r="B72" i="4"/>
  <c r="L71" i="4"/>
  <c r="J71" i="4"/>
  <c r="D71" i="4"/>
  <c r="B71" i="4"/>
  <c r="H70" i="4"/>
  <c r="F70" i="4"/>
  <c r="D70" i="4"/>
  <c r="B70" i="4"/>
  <c r="D69" i="4"/>
  <c r="B69" i="4"/>
  <c r="H68" i="4"/>
  <c r="F68" i="4"/>
  <c r="D68" i="4"/>
  <c r="B68" i="4"/>
  <c r="L67" i="4"/>
  <c r="J67" i="4"/>
  <c r="D67" i="4"/>
  <c r="B67" i="4"/>
  <c r="H66" i="4"/>
  <c r="F66" i="4"/>
  <c r="D66" i="4"/>
  <c r="B66" i="4"/>
  <c r="D65" i="4"/>
  <c r="B65" i="4"/>
  <c r="H64" i="4"/>
  <c r="F64" i="4"/>
  <c r="D64" i="4"/>
  <c r="B64" i="4"/>
  <c r="L63" i="4"/>
  <c r="J63" i="4"/>
  <c r="D63" i="4"/>
  <c r="B63" i="4"/>
  <c r="H62" i="4"/>
  <c r="F62" i="4"/>
  <c r="D62" i="4"/>
  <c r="B62" i="4"/>
  <c r="D61" i="4"/>
  <c r="B61" i="4"/>
  <c r="H60" i="4"/>
  <c r="F60" i="4"/>
  <c r="D60" i="4"/>
  <c r="B60" i="4"/>
  <c r="L59" i="4"/>
  <c r="J59" i="4"/>
  <c r="D59" i="4"/>
  <c r="B59" i="4"/>
  <c r="H58" i="4"/>
  <c r="F58" i="4"/>
  <c r="D58" i="4"/>
  <c r="B58" i="4"/>
  <c r="D57" i="4"/>
  <c r="B57" i="4"/>
  <c r="H56" i="4"/>
  <c r="F56" i="4"/>
  <c r="D56" i="4"/>
  <c r="B56" i="4"/>
  <c r="L55" i="4"/>
  <c r="J55" i="4"/>
  <c r="D55" i="4"/>
  <c r="B55" i="4"/>
  <c r="H54" i="4"/>
  <c r="F54" i="4"/>
  <c r="D54" i="4"/>
  <c r="B54" i="4"/>
  <c r="D53" i="4"/>
  <c r="B53" i="4"/>
  <c r="H52" i="4"/>
  <c r="F52" i="4"/>
  <c r="D52" i="4"/>
  <c r="B52" i="4"/>
  <c r="L51" i="4"/>
  <c r="J51" i="4"/>
  <c r="D51" i="4"/>
  <c r="B51" i="4"/>
  <c r="H50" i="4"/>
  <c r="F50" i="4"/>
  <c r="D50" i="4"/>
  <c r="B50" i="4"/>
  <c r="D49" i="4"/>
  <c r="B49" i="4"/>
  <c r="H48" i="4"/>
  <c r="F48" i="4"/>
  <c r="D48" i="4"/>
  <c r="B48" i="4"/>
  <c r="L47" i="4"/>
  <c r="J47" i="4"/>
  <c r="D47" i="4"/>
  <c r="B47" i="4"/>
  <c r="H46" i="4"/>
  <c r="F46" i="4"/>
  <c r="D46" i="4"/>
  <c r="B46" i="4"/>
  <c r="D45" i="4"/>
  <c r="B45" i="4"/>
  <c r="H44" i="4"/>
  <c r="F44" i="4"/>
  <c r="D44" i="4"/>
  <c r="B44" i="4"/>
  <c r="L43" i="4"/>
  <c r="J43" i="4"/>
  <c r="D43" i="4"/>
  <c r="B43" i="4"/>
  <c r="H42" i="4"/>
  <c r="F42" i="4"/>
  <c r="D42" i="4"/>
  <c r="B42" i="4"/>
  <c r="D41" i="4"/>
  <c r="B41" i="4"/>
  <c r="H40" i="4"/>
  <c r="F40" i="4"/>
  <c r="D40" i="4"/>
  <c r="B40" i="4"/>
  <c r="L39" i="4"/>
  <c r="J39" i="4"/>
  <c r="D39" i="4"/>
  <c r="B39" i="4"/>
  <c r="H38" i="4"/>
  <c r="F38" i="4"/>
  <c r="D38" i="4"/>
  <c r="B38" i="4"/>
  <c r="U37" i="4"/>
  <c r="S37" i="4"/>
  <c r="D37" i="4"/>
  <c r="B37" i="4"/>
  <c r="H36" i="4"/>
  <c r="F36" i="4"/>
  <c r="D36" i="4"/>
  <c r="B36" i="4"/>
  <c r="AC35" i="4"/>
  <c r="AA35" i="4"/>
  <c r="Y35" i="4"/>
  <c r="W35" i="4"/>
  <c r="Q35" i="4"/>
  <c r="O35" i="4"/>
  <c r="L35" i="4"/>
  <c r="J35" i="4"/>
  <c r="D35" i="4"/>
  <c r="B35" i="4"/>
  <c r="U34" i="4"/>
  <c r="S34" i="4"/>
  <c r="H34" i="4"/>
  <c r="F34" i="4"/>
  <c r="D34" i="4"/>
  <c r="B34" i="4"/>
  <c r="AG33" i="4"/>
  <c r="AE33" i="4"/>
  <c r="Q33" i="4"/>
  <c r="O33" i="4"/>
  <c r="D33" i="4"/>
  <c r="B33" i="4"/>
  <c r="AC32" i="4"/>
  <c r="AA32" i="4"/>
  <c r="H32" i="4"/>
  <c r="F32" i="4"/>
  <c r="D32" i="4"/>
  <c r="B32" i="4"/>
  <c r="Y31" i="4"/>
  <c r="W31" i="4"/>
  <c r="U31" i="4"/>
  <c r="S31" i="4"/>
  <c r="Q31" i="4"/>
  <c r="O31" i="4"/>
  <c r="L31" i="4"/>
  <c r="J31" i="4"/>
  <c r="D31" i="4"/>
  <c r="B31" i="4"/>
  <c r="H30" i="4"/>
  <c r="F30" i="4"/>
  <c r="D30" i="4"/>
  <c r="B30" i="4"/>
  <c r="AG29" i="4"/>
  <c r="AE29" i="4"/>
  <c r="AC29" i="4"/>
  <c r="AA29" i="4"/>
  <c r="Q29" i="4"/>
  <c r="O29" i="4"/>
  <c r="D29" i="4"/>
  <c r="B29" i="4"/>
  <c r="U28" i="4"/>
  <c r="S28" i="4"/>
  <c r="H28" i="4"/>
  <c r="F28" i="4"/>
  <c r="D28" i="4"/>
  <c r="B28" i="4"/>
  <c r="Y27" i="4"/>
  <c r="W27" i="4"/>
  <c r="Q27" i="4"/>
  <c r="O27" i="4"/>
  <c r="L27" i="4"/>
  <c r="J27" i="4"/>
  <c r="D27" i="4"/>
  <c r="B27" i="4"/>
  <c r="AC26" i="4"/>
  <c r="AA26" i="4"/>
  <c r="H26" i="4"/>
  <c r="F26" i="4"/>
  <c r="D26" i="4"/>
  <c r="B26" i="4"/>
  <c r="AG25" i="4"/>
  <c r="AE25" i="4"/>
  <c r="U25" i="4"/>
  <c r="S25" i="4"/>
  <c r="Q25" i="4"/>
  <c r="O25" i="4"/>
  <c r="D25" i="4"/>
  <c r="B25" i="4"/>
  <c r="H24" i="4"/>
  <c r="F24" i="4"/>
  <c r="D24" i="4"/>
  <c r="B24" i="4"/>
  <c r="AC23" i="4"/>
  <c r="AA23" i="4"/>
  <c r="Y23" i="4"/>
  <c r="W23" i="4"/>
  <c r="Q23" i="4"/>
  <c r="O23" i="4"/>
  <c r="L23" i="4"/>
  <c r="J23" i="4"/>
  <c r="D23" i="4"/>
  <c r="B23" i="4"/>
  <c r="U22" i="4"/>
  <c r="S22" i="4"/>
  <c r="H22" i="4"/>
  <c r="F22" i="4"/>
  <c r="D22" i="4"/>
  <c r="B22" i="4"/>
  <c r="AG21" i="4"/>
  <c r="AE21" i="4"/>
  <c r="Q21" i="4"/>
  <c r="O21" i="4"/>
  <c r="D21" i="4"/>
  <c r="B21" i="4"/>
  <c r="AC20" i="4"/>
  <c r="AA20" i="4"/>
  <c r="H20" i="4"/>
  <c r="F20" i="4"/>
  <c r="D20" i="4"/>
  <c r="B20" i="4"/>
  <c r="Y19" i="4"/>
  <c r="W19" i="4"/>
  <c r="U19" i="4"/>
  <c r="S19" i="4"/>
  <c r="Q19" i="4"/>
  <c r="O19" i="4"/>
  <c r="L19" i="4"/>
  <c r="J19" i="4"/>
  <c r="D19" i="4"/>
  <c r="B19" i="4"/>
  <c r="H18" i="4"/>
  <c r="F18" i="4"/>
  <c r="D18" i="4"/>
  <c r="B18" i="4"/>
  <c r="AG17" i="4"/>
  <c r="AE17" i="4"/>
  <c r="AC17" i="4"/>
  <c r="AA17" i="4"/>
  <c r="Q17" i="4"/>
  <c r="O17" i="4"/>
  <c r="D17" i="4"/>
  <c r="B17" i="4"/>
  <c r="U16" i="4"/>
  <c r="S16" i="4"/>
  <c r="H16" i="4"/>
  <c r="F16" i="4"/>
  <c r="D16" i="4"/>
  <c r="B16" i="4"/>
  <c r="Y15" i="4"/>
  <c r="W15" i="4"/>
  <c r="Q15" i="4"/>
  <c r="O15" i="4"/>
  <c r="L15" i="4"/>
  <c r="J15" i="4"/>
  <c r="D15" i="4"/>
  <c r="B15" i="4"/>
  <c r="AC14" i="4"/>
  <c r="AA14" i="4"/>
  <c r="H14" i="4"/>
  <c r="F14" i="4"/>
  <c r="D14" i="4"/>
  <c r="B14" i="4"/>
  <c r="AG13" i="4"/>
  <c r="AE13" i="4"/>
  <c r="U13" i="4"/>
  <c r="S13" i="4"/>
  <c r="Q13" i="4"/>
  <c r="O13" i="4"/>
  <c r="D13" i="4"/>
  <c r="B13" i="4"/>
  <c r="H12" i="4"/>
  <c r="F12" i="4"/>
  <c r="D12" i="4"/>
  <c r="B12" i="4"/>
  <c r="AC11" i="4"/>
  <c r="AA11" i="4"/>
  <c r="Y11" i="4"/>
  <c r="W11" i="4"/>
  <c r="Q11" i="4"/>
  <c r="O11" i="4"/>
  <c r="L11" i="4"/>
  <c r="J11" i="4"/>
  <c r="D11" i="4"/>
  <c r="B11" i="4"/>
  <c r="U10" i="4"/>
  <c r="S10" i="4"/>
  <c r="H10" i="4"/>
  <c r="F10" i="4"/>
  <c r="D10" i="4"/>
  <c r="B10" i="4"/>
  <c r="AG9" i="4"/>
  <c r="AE9" i="4"/>
  <c r="Q9" i="4"/>
  <c r="O9" i="4"/>
  <c r="D9" i="4"/>
  <c r="B9" i="4"/>
  <c r="AC8" i="4"/>
  <c r="AA8" i="4"/>
  <c r="H8" i="4"/>
  <c r="F8" i="4"/>
  <c r="D8" i="4"/>
  <c r="B8" i="4"/>
  <c r="Y7" i="4"/>
  <c r="W7" i="4"/>
  <c r="U7" i="4"/>
  <c r="S7" i="4"/>
  <c r="Q7" i="4"/>
  <c r="O7" i="4"/>
  <c r="L7" i="4"/>
  <c r="J7" i="4"/>
  <c r="D7" i="4"/>
  <c r="B7" i="4"/>
  <c r="H6" i="4"/>
  <c r="F6" i="4"/>
  <c r="D6" i="4"/>
  <c r="B6" i="4"/>
  <c r="Q5" i="4"/>
  <c r="O5" i="4"/>
  <c r="D5" i="4"/>
  <c r="B5" i="4"/>
  <c r="F97" i="9" l="1"/>
  <c r="E99" i="9"/>
  <c r="H97" i="9"/>
  <c r="A57" i="10"/>
  <c r="D56" i="10"/>
  <c r="B56" i="10"/>
  <c r="F105" i="10"/>
  <c r="E107" i="10"/>
  <c r="H105" i="10"/>
  <c r="I202" i="10"/>
  <c r="J198" i="10"/>
  <c r="L198" i="10"/>
  <c r="L198" i="9"/>
  <c r="I202" i="9"/>
  <c r="J198" i="9"/>
  <c r="A52" i="9"/>
  <c r="B51" i="9"/>
  <c r="D51" i="9"/>
  <c r="B55" i="8"/>
  <c r="A56" i="8"/>
  <c r="D55" i="8"/>
  <c r="E103" i="8"/>
  <c r="H101" i="8"/>
  <c r="F101" i="8"/>
  <c r="B106" i="7"/>
  <c r="E104" i="7"/>
  <c r="C104" i="7"/>
  <c r="D7" i="6"/>
  <c r="B8" i="6"/>
  <c r="D6" i="6"/>
  <c r="T28" i="3"/>
  <c r="T44" i="3" s="1"/>
  <c r="T60" i="3" s="1"/>
  <c r="T76" i="3" s="1"/>
  <c r="T92" i="3" s="1"/>
  <c r="T108" i="3" s="1"/>
  <c r="T124" i="3" s="1"/>
  <c r="R28" i="3"/>
  <c r="R44" i="3" s="1"/>
  <c r="R60" i="3" s="1"/>
  <c r="R76" i="3" s="1"/>
  <c r="R92" i="3" s="1"/>
  <c r="R108" i="3" s="1"/>
  <c r="R124" i="3" s="1"/>
  <c r="P24" i="3"/>
  <c r="P32" i="3" s="1"/>
  <c r="P40" i="3" s="1"/>
  <c r="P48" i="3" s="1"/>
  <c r="P56" i="3" s="1"/>
  <c r="P64" i="3" s="1"/>
  <c r="P72" i="3" s="1"/>
  <c r="P80" i="3" s="1"/>
  <c r="P88" i="3" s="1"/>
  <c r="P96" i="3" s="1"/>
  <c r="P104" i="3" s="1"/>
  <c r="P112" i="3" s="1"/>
  <c r="P120" i="3" s="1"/>
  <c r="P128" i="3" s="1"/>
  <c r="N24" i="3"/>
  <c r="N32" i="3" s="1"/>
  <c r="N40" i="3" s="1"/>
  <c r="N48" i="3" s="1"/>
  <c r="N56" i="3" s="1"/>
  <c r="N64" i="3" s="1"/>
  <c r="N72" i="3" s="1"/>
  <c r="N80" i="3" s="1"/>
  <c r="N88" i="3" s="1"/>
  <c r="N96" i="3" s="1"/>
  <c r="N104" i="3" s="1"/>
  <c r="N112" i="3" s="1"/>
  <c r="N120" i="3" s="1"/>
  <c r="N128" i="3" s="1"/>
  <c r="J22" i="3"/>
  <c r="J26" i="3" s="1"/>
  <c r="J30" i="3" s="1"/>
  <c r="J34" i="3" s="1"/>
  <c r="J38" i="3" s="1"/>
  <c r="J42" i="3" s="1"/>
  <c r="J46" i="3" s="1"/>
  <c r="J50" i="3" s="1"/>
  <c r="J54" i="3" s="1"/>
  <c r="J58" i="3" s="1"/>
  <c r="J62" i="3" s="1"/>
  <c r="J66" i="3" s="1"/>
  <c r="J70" i="3" s="1"/>
  <c r="J74" i="3" s="1"/>
  <c r="J78" i="3" s="1"/>
  <c r="J82" i="3" s="1"/>
  <c r="J86" i="3" s="1"/>
  <c r="J90" i="3" s="1"/>
  <c r="J94" i="3" s="1"/>
  <c r="J98" i="3" s="1"/>
  <c r="J102" i="3" s="1"/>
  <c r="J106" i="3" s="1"/>
  <c r="J110" i="3" s="1"/>
  <c r="J114" i="3" s="1"/>
  <c r="J118" i="3" s="1"/>
  <c r="J122" i="3" s="1"/>
  <c r="J126" i="3" s="1"/>
  <c r="J130" i="3" s="1"/>
  <c r="F21" i="3"/>
  <c r="F23" i="3" s="1"/>
  <c r="F25" i="3" s="1"/>
  <c r="F27" i="3" s="1"/>
  <c r="F29" i="3" s="1"/>
  <c r="F31" i="3" s="1"/>
  <c r="F33" i="3" s="1"/>
  <c r="F35" i="3" s="1"/>
  <c r="F37" i="3" s="1"/>
  <c r="F39" i="3" s="1"/>
  <c r="F41" i="3" s="1"/>
  <c r="F43" i="3" s="1"/>
  <c r="F45" i="3" s="1"/>
  <c r="F47" i="3" s="1"/>
  <c r="F49" i="3" s="1"/>
  <c r="F51" i="3" s="1"/>
  <c r="F53" i="3" s="1"/>
  <c r="F55" i="3" s="1"/>
  <c r="F57" i="3" s="1"/>
  <c r="F59" i="3" s="1"/>
  <c r="F61" i="3" s="1"/>
  <c r="F63" i="3" s="1"/>
  <c r="F65" i="3" s="1"/>
  <c r="F67" i="3" s="1"/>
  <c r="F69" i="3" s="1"/>
  <c r="F71" i="3" s="1"/>
  <c r="F73" i="3" s="1"/>
  <c r="F75" i="3" s="1"/>
  <c r="F77" i="3" s="1"/>
  <c r="F79" i="3" s="1"/>
  <c r="F81" i="3" s="1"/>
  <c r="F83" i="3" s="1"/>
  <c r="F85" i="3" s="1"/>
  <c r="F87" i="3" s="1"/>
  <c r="F89" i="3" s="1"/>
  <c r="F91" i="3" s="1"/>
  <c r="F93" i="3" s="1"/>
  <c r="F95" i="3" s="1"/>
  <c r="F97" i="3" s="1"/>
  <c r="F99" i="3" s="1"/>
  <c r="F101" i="3" s="1"/>
  <c r="F103" i="3" s="1"/>
  <c r="F105" i="3" s="1"/>
  <c r="F107" i="3" s="1"/>
  <c r="F109" i="3" s="1"/>
  <c r="F111" i="3" s="1"/>
  <c r="F113" i="3" s="1"/>
  <c r="F115" i="3" s="1"/>
  <c r="F117" i="3" s="1"/>
  <c r="F119" i="3" s="1"/>
  <c r="F121" i="3" s="1"/>
  <c r="F123" i="3" s="1"/>
  <c r="F125" i="3" s="1"/>
  <c r="F127" i="3" s="1"/>
  <c r="F129" i="3" s="1"/>
  <c r="F131" i="3" s="1"/>
  <c r="B20" i="3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L10" i="3"/>
  <c r="L14" i="3" s="1"/>
  <c r="L18" i="3" s="1"/>
  <c r="L22" i="3" s="1"/>
  <c r="L26" i="3" s="1"/>
  <c r="L30" i="3" s="1"/>
  <c r="L34" i="3" s="1"/>
  <c r="L38" i="3" s="1"/>
  <c r="L42" i="3" s="1"/>
  <c r="L46" i="3" s="1"/>
  <c r="L50" i="3" s="1"/>
  <c r="L54" i="3" s="1"/>
  <c r="L58" i="3" s="1"/>
  <c r="L62" i="3" s="1"/>
  <c r="L66" i="3" s="1"/>
  <c r="L70" i="3" s="1"/>
  <c r="L74" i="3" s="1"/>
  <c r="L78" i="3" s="1"/>
  <c r="L82" i="3" s="1"/>
  <c r="L86" i="3" s="1"/>
  <c r="L90" i="3" s="1"/>
  <c r="L94" i="3" s="1"/>
  <c r="L98" i="3" s="1"/>
  <c r="L102" i="3" s="1"/>
  <c r="L106" i="3" s="1"/>
  <c r="L110" i="3" s="1"/>
  <c r="L114" i="3" s="1"/>
  <c r="L118" i="3" s="1"/>
  <c r="L122" i="3" s="1"/>
  <c r="L126" i="3" s="1"/>
  <c r="L130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H27" i="3" s="1"/>
  <c r="H29" i="3" s="1"/>
  <c r="H31" i="3" s="1"/>
  <c r="H33" i="3" s="1"/>
  <c r="H35" i="3" s="1"/>
  <c r="H37" i="3" s="1"/>
  <c r="H39" i="3" s="1"/>
  <c r="H41" i="3" s="1"/>
  <c r="H43" i="3" s="1"/>
  <c r="H45" i="3" s="1"/>
  <c r="H47" i="3" s="1"/>
  <c r="H49" i="3" s="1"/>
  <c r="H51" i="3" s="1"/>
  <c r="H53" i="3" s="1"/>
  <c r="H55" i="3" s="1"/>
  <c r="H57" i="3" s="1"/>
  <c r="H59" i="3" s="1"/>
  <c r="H61" i="3" s="1"/>
  <c r="H63" i="3" s="1"/>
  <c r="H65" i="3" s="1"/>
  <c r="H67" i="3" s="1"/>
  <c r="H69" i="3" s="1"/>
  <c r="H71" i="3" s="1"/>
  <c r="H73" i="3" s="1"/>
  <c r="H75" i="3" s="1"/>
  <c r="H77" i="3" s="1"/>
  <c r="H79" i="3" s="1"/>
  <c r="H81" i="3" s="1"/>
  <c r="H83" i="3" s="1"/>
  <c r="H85" i="3" s="1"/>
  <c r="H87" i="3" s="1"/>
  <c r="H89" i="3" s="1"/>
  <c r="H91" i="3" s="1"/>
  <c r="H93" i="3" s="1"/>
  <c r="H95" i="3" s="1"/>
  <c r="H97" i="3" s="1"/>
  <c r="H99" i="3" s="1"/>
  <c r="H101" i="3" s="1"/>
  <c r="H103" i="3" s="1"/>
  <c r="H105" i="3" s="1"/>
  <c r="H107" i="3" s="1"/>
  <c r="H109" i="3" s="1"/>
  <c r="H111" i="3" s="1"/>
  <c r="H113" i="3" s="1"/>
  <c r="H115" i="3" s="1"/>
  <c r="H117" i="3" s="1"/>
  <c r="H119" i="3" s="1"/>
  <c r="H121" i="3" s="1"/>
  <c r="H123" i="3" s="1"/>
  <c r="H125" i="3" s="1"/>
  <c r="H127" i="3" s="1"/>
  <c r="H129" i="3" s="1"/>
  <c r="H131" i="3" s="1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H77" i="1"/>
  <c r="F77" i="1"/>
  <c r="L75" i="1"/>
  <c r="J75" i="1"/>
  <c r="H75" i="1"/>
  <c r="F75" i="1"/>
  <c r="H73" i="1"/>
  <c r="F73" i="1"/>
  <c r="P71" i="1"/>
  <c r="N71" i="1"/>
  <c r="L71" i="1"/>
  <c r="J71" i="1"/>
  <c r="H71" i="1"/>
  <c r="F71" i="1"/>
  <c r="H69" i="1"/>
  <c r="F69" i="1"/>
  <c r="T67" i="1"/>
  <c r="R67" i="1"/>
  <c r="L67" i="1"/>
  <c r="J67" i="1"/>
  <c r="H67" i="1"/>
  <c r="F67" i="1"/>
  <c r="H65" i="1"/>
  <c r="F65" i="1"/>
  <c r="P63" i="1"/>
  <c r="N63" i="1"/>
  <c r="L63" i="1"/>
  <c r="J63" i="1"/>
  <c r="H63" i="1"/>
  <c r="F63" i="1"/>
  <c r="H61" i="1"/>
  <c r="F61" i="1"/>
  <c r="T59" i="1"/>
  <c r="R59" i="1"/>
  <c r="L59" i="1"/>
  <c r="J59" i="1"/>
  <c r="H59" i="1"/>
  <c r="F59" i="1"/>
  <c r="H57" i="1"/>
  <c r="F57" i="1"/>
  <c r="P55" i="1"/>
  <c r="N55" i="1"/>
  <c r="L55" i="1"/>
  <c r="J55" i="1"/>
  <c r="H55" i="1"/>
  <c r="F55" i="1"/>
  <c r="H53" i="1"/>
  <c r="F53" i="1"/>
  <c r="T51" i="1"/>
  <c r="R51" i="1"/>
  <c r="L51" i="1"/>
  <c r="J51" i="1"/>
  <c r="H51" i="1"/>
  <c r="F51" i="1"/>
  <c r="H49" i="1"/>
  <c r="F49" i="1"/>
  <c r="P47" i="1"/>
  <c r="N47" i="1"/>
  <c r="L47" i="1"/>
  <c r="J47" i="1"/>
  <c r="H47" i="1"/>
  <c r="F47" i="1"/>
  <c r="H45" i="1"/>
  <c r="F45" i="1"/>
  <c r="T43" i="1"/>
  <c r="R43" i="1"/>
  <c r="L43" i="1"/>
  <c r="J43" i="1"/>
  <c r="H43" i="1"/>
  <c r="F43" i="1"/>
  <c r="H41" i="1"/>
  <c r="F41" i="1"/>
  <c r="P39" i="1"/>
  <c r="N39" i="1"/>
  <c r="L39" i="1"/>
  <c r="J39" i="1"/>
  <c r="H39" i="1"/>
  <c r="F39" i="1"/>
  <c r="H37" i="1"/>
  <c r="F37" i="1"/>
  <c r="T35" i="1"/>
  <c r="R35" i="1"/>
  <c r="L35" i="1"/>
  <c r="J35" i="1"/>
  <c r="H35" i="1"/>
  <c r="F35" i="1"/>
  <c r="H33" i="1"/>
  <c r="F33" i="1"/>
  <c r="P31" i="1"/>
  <c r="N31" i="1"/>
  <c r="L31" i="1"/>
  <c r="J31" i="1"/>
  <c r="H31" i="1"/>
  <c r="F31" i="1"/>
  <c r="H29" i="1"/>
  <c r="F29" i="1"/>
  <c r="T27" i="1"/>
  <c r="R27" i="1"/>
  <c r="L27" i="1"/>
  <c r="J27" i="1"/>
  <c r="H27" i="1"/>
  <c r="F27" i="1"/>
  <c r="H25" i="1"/>
  <c r="F25" i="1"/>
  <c r="P23" i="1"/>
  <c r="N23" i="1"/>
  <c r="M23" i="1"/>
  <c r="M31" i="1" s="1"/>
  <c r="M39" i="1" s="1"/>
  <c r="M47" i="1" s="1"/>
  <c r="M55" i="1" s="1"/>
  <c r="M63" i="1" s="1"/>
  <c r="M71" i="1" s="1"/>
  <c r="L23" i="1"/>
  <c r="J23" i="1"/>
  <c r="H23" i="1"/>
  <c r="F23" i="1"/>
  <c r="H21" i="1"/>
  <c r="F21" i="1"/>
  <c r="T19" i="1"/>
  <c r="R19" i="1"/>
  <c r="L19" i="1"/>
  <c r="J19" i="1"/>
  <c r="H19" i="1"/>
  <c r="F19" i="1"/>
  <c r="H17" i="1"/>
  <c r="F17" i="1"/>
  <c r="P15" i="1"/>
  <c r="O15" i="1"/>
  <c r="N15" i="1"/>
  <c r="L15" i="1"/>
  <c r="J15" i="1"/>
  <c r="I15" i="1"/>
  <c r="I19" i="1" s="1"/>
  <c r="I23" i="1" s="1"/>
  <c r="I31" i="1" s="1"/>
  <c r="I35" i="1" s="1"/>
  <c r="I39" i="1" s="1"/>
  <c r="I43" i="1" s="1"/>
  <c r="I47" i="1" s="1"/>
  <c r="I51" i="1" s="1"/>
  <c r="I55" i="1" s="1"/>
  <c r="I59" i="1" s="1"/>
  <c r="I63" i="1" s="1"/>
  <c r="I67" i="1" s="1"/>
  <c r="I71" i="1" s="1"/>
  <c r="I75" i="1" s="1"/>
  <c r="H15" i="1"/>
  <c r="F15" i="1"/>
  <c r="H13" i="1"/>
  <c r="F13" i="1"/>
  <c r="L11" i="1"/>
  <c r="J11" i="1"/>
  <c r="H11" i="1"/>
  <c r="F11" i="1"/>
  <c r="E11" i="1"/>
  <c r="E13" i="1" s="1"/>
  <c r="E15" i="1" s="1"/>
  <c r="E17" i="1" s="1"/>
  <c r="E19" i="1" s="1"/>
  <c r="E21" i="1" s="1"/>
  <c r="E23" i="1" s="1"/>
  <c r="E25" i="1" s="1"/>
  <c r="E27" i="1" s="1"/>
  <c r="E29" i="1" s="1"/>
  <c r="E31" i="1" s="1"/>
  <c r="E33" i="1" s="1"/>
  <c r="E35" i="1" s="1"/>
  <c r="E37" i="1" s="1"/>
  <c r="E39" i="1" s="1"/>
  <c r="E41" i="1" s="1"/>
  <c r="E43" i="1" s="1"/>
  <c r="E45" i="1" s="1"/>
  <c r="E47" i="1" s="1"/>
  <c r="E49" i="1" s="1"/>
  <c r="E51" i="1" s="1"/>
  <c r="E53" i="1" s="1"/>
  <c r="E55" i="1" s="1"/>
  <c r="E57" i="1" s="1"/>
  <c r="E59" i="1" s="1"/>
  <c r="E61" i="1" s="1"/>
  <c r="E63" i="1" s="1"/>
  <c r="E65" i="1" s="1"/>
  <c r="E67" i="1" s="1"/>
  <c r="E69" i="1" s="1"/>
  <c r="E71" i="1" s="1"/>
  <c r="E73" i="1" s="1"/>
  <c r="E75" i="1" s="1"/>
  <c r="E77" i="1" s="1"/>
  <c r="H9" i="1"/>
  <c r="F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A9" i="1"/>
  <c r="D8" i="1"/>
  <c r="B8" i="1"/>
  <c r="E101" i="9" l="1"/>
  <c r="H99" i="9"/>
  <c r="F99" i="9"/>
  <c r="D9" i="1"/>
  <c r="A10" i="1"/>
  <c r="I206" i="10"/>
  <c r="L202" i="10"/>
  <c r="J202" i="10"/>
  <c r="E109" i="10"/>
  <c r="H107" i="10"/>
  <c r="F107" i="10"/>
  <c r="D57" i="10"/>
  <c r="B57" i="10"/>
  <c r="A58" i="10"/>
  <c r="D52" i="9"/>
  <c r="B52" i="9"/>
  <c r="A53" i="9"/>
  <c r="L202" i="9"/>
  <c r="J202" i="9"/>
  <c r="I206" i="9"/>
  <c r="F103" i="8"/>
  <c r="E105" i="8"/>
  <c r="H103" i="8"/>
  <c r="A57" i="8"/>
  <c r="D56" i="8"/>
  <c r="B56" i="8"/>
  <c r="E106" i="7"/>
  <c r="C106" i="7"/>
  <c r="B108" i="7"/>
  <c r="B9" i="6"/>
  <c r="D8" i="6"/>
  <c r="A11" i="1"/>
  <c r="D10" i="1"/>
  <c r="B10" i="1"/>
  <c r="B9" i="1"/>
  <c r="H101" i="9" l="1"/>
  <c r="E103" i="9"/>
  <c r="F101" i="9"/>
  <c r="E111" i="10"/>
  <c r="F109" i="10"/>
  <c r="H109" i="10"/>
  <c r="A59" i="10"/>
  <c r="D58" i="10"/>
  <c r="B58" i="10"/>
  <c r="I210" i="10"/>
  <c r="L206" i="10"/>
  <c r="J206" i="10"/>
  <c r="B53" i="9"/>
  <c r="A54" i="9"/>
  <c r="D53" i="9"/>
  <c r="L206" i="9"/>
  <c r="I210" i="9"/>
  <c r="J206" i="9"/>
  <c r="D57" i="8"/>
  <c r="B57" i="8"/>
  <c r="A58" i="8"/>
  <c r="E107" i="8"/>
  <c r="H105" i="8"/>
  <c r="F105" i="8"/>
  <c r="E108" i="7"/>
  <c r="C108" i="7"/>
  <c r="B10" i="6"/>
  <c r="D9" i="6"/>
  <c r="A12" i="1"/>
  <c r="B11" i="1"/>
  <c r="D11" i="1"/>
  <c r="H103" i="9" l="1"/>
  <c r="F103" i="9"/>
  <c r="E105" i="9"/>
  <c r="I214" i="10"/>
  <c r="L210" i="10"/>
  <c r="J210" i="10"/>
  <c r="B59" i="10"/>
  <c r="A60" i="10"/>
  <c r="D59" i="10"/>
  <c r="E113" i="10"/>
  <c r="F111" i="10"/>
  <c r="H111" i="10"/>
  <c r="L210" i="9"/>
  <c r="J210" i="9"/>
  <c r="I214" i="9"/>
  <c r="D54" i="9"/>
  <c r="B54" i="9"/>
  <c r="A55" i="9"/>
  <c r="E109" i="8"/>
  <c r="F107" i="8"/>
  <c r="H107" i="8"/>
  <c r="A59" i="8"/>
  <c r="D58" i="8"/>
  <c r="B58" i="8"/>
  <c r="D10" i="6"/>
  <c r="B11" i="6"/>
  <c r="B12" i="1"/>
  <c r="D12" i="1"/>
  <c r="A13" i="1"/>
  <c r="E107" i="9" l="1"/>
  <c r="H105" i="9"/>
  <c r="F105" i="9"/>
  <c r="H113" i="10"/>
  <c r="E115" i="10"/>
  <c r="F113" i="10"/>
  <c r="D60" i="10"/>
  <c r="A61" i="10"/>
  <c r="B60" i="10"/>
  <c r="I218" i="10"/>
  <c r="L214" i="10"/>
  <c r="J214" i="10"/>
  <c r="L214" i="9"/>
  <c r="I218" i="9"/>
  <c r="J214" i="9"/>
  <c r="D55" i="9"/>
  <c r="B55" i="9"/>
  <c r="A56" i="9"/>
  <c r="A60" i="8"/>
  <c r="D59" i="8"/>
  <c r="B59" i="8"/>
  <c r="H109" i="8"/>
  <c r="E111" i="8"/>
  <c r="F109" i="8"/>
  <c r="B12" i="6"/>
  <c r="D11" i="6"/>
  <c r="B13" i="1"/>
  <c r="D13" i="1"/>
  <c r="A14" i="1"/>
  <c r="E109" i="9" l="1"/>
  <c r="H107" i="9"/>
  <c r="F107" i="9"/>
  <c r="L218" i="10"/>
  <c r="J218" i="10"/>
  <c r="I222" i="10"/>
  <c r="D61" i="10"/>
  <c r="B61" i="10"/>
  <c r="A62" i="10"/>
  <c r="E117" i="10"/>
  <c r="H115" i="10"/>
  <c r="F115" i="10"/>
  <c r="L218" i="9"/>
  <c r="J218" i="9"/>
  <c r="I222" i="9"/>
  <c r="A57" i="9"/>
  <c r="D56" i="9"/>
  <c r="B56" i="9"/>
  <c r="F111" i="8"/>
  <c r="E113" i="8"/>
  <c r="H111" i="8"/>
  <c r="B60" i="8"/>
  <c r="A61" i="8"/>
  <c r="D60" i="8"/>
  <c r="B13" i="6"/>
  <c r="D12" i="6"/>
  <c r="D14" i="1"/>
  <c r="A15" i="1"/>
  <c r="B14" i="1"/>
  <c r="H109" i="9" l="1"/>
  <c r="E111" i="9"/>
  <c r="F109" i="9"/>
  <c r="L222" i="10"/>
  <c r="J222" i="10"/>
  <c r="H117" i="10"/>
  <c r="F117" i="10"/>
  <c r="E119" i="10"/>
  <c r="A63" i="10"/>
  <c r="D62" i="10"/>
  <c r="B62" i="10"/>
  <c r="D57" i="9"/>
  <c r="B57" i="9"/>
  <c r="A58" i="9"/>
  <c r="L222" i="9"/>
  <c r="I226" i="9"/>
  <c r="J222" i="9"/>
  <c r="B61" i="8"/>
  <c r="D61" i="8"/>
  <c r="A62" i="8"/>
  <c r="E115" i="8"/>
  <c r="H113" i="8"/>
  <c r="F113" i="8"/>
  <c r="B14" i="6"/>
  <c r="D13" i="6"/>
  <c r="B15" i="1"/>
  <c r="A16" i="1"/>
  <c r="D15" i="1"/>
  <c r="H111" i="9" l="1"/>
  <c r="F111" i="9"/>
  <c r="E113" i="9"/>
  <c r="B63" i="10"/>
  <c r="A64" i="10"/>
  <c r="D63" i="10"/>
  <c r="H119" i="10"/>
  <c r="E121" i="10"/>
  <c r="F119" i="10"/>
  <c r="L226" i="9"/>
  <c r="J226" i="9"/>
  <c r="I230" i="9"/>
  <c r="B58" i="9"/>
  <c r="A59" i="9"/>
  <c r="D58" i="9"/>
  <c r="E117" i="8"/>
  <c r="F115" i="8"/>
  <c r="H115" i="8"/>
  <c r="D62" i="8"/>
  <c r="B62" i="8"/>
  <c r="A63" i="8"/>
  <c r="D14" i="6"/>
  <c r="B15" i="6"/>
  <c r="A17" i="1"/>
  <c r="D16" i="1"/>
  <c r="B16" i="1"/>
  <c r="E115" i="9" l="1"/>
  <c r="H113" i="9"/>
  <c r="F113" i="9"/>
  <c r="D64" i="10"/>
  <c r="A65" i="10"/>
  <c r="B64" i="10"/>
  <c r="E123" i="10"/>
  <c r="H121" i="10"/>
  <c r="F121" i="10"/>
  <c r="A60" i="9"/>
  <c r="D59" i="9"/>
  <c r="B59" i="9"/>
  <c r="L230" i="9"/>
  <c r="J230" i="9"/>
  <c r="I234" i="9"/>
  <c r="A64" i="8"/>
  <c r="D63" i="8"/>
  <c r="B63" i="8"/>
  <c r="H117" i="8"/>
  <c r="F117" i="8"/>
  <c r="E119" i="8"/>
  <c r="B16" i="6"/>
  <c r="D15" i="6"/>
  <c r="A18" i="1"/>
  <c r="B17" i="1"/>
  <c r="D17" i="1"/>
  <c r="E117" i="9" l="1"/>
  <c r="F115" i="9"/>
  <c r="H115" i="9"/>
  <c r="D65" i="10"/>
  <c r="B65" i="10"/>
  <c r="A66" i="10"/>
  <c r="F123" i="10"/>
  <c r="E125" i="10"/>
  <c r="H123" i="10"/>
  <c r="D60" i="9"/>
  <c r="B60" i="9"/>
  <c r="A61" i="9"/>
  <c r="L234" i="9"/>
  <c r="I238" i="9"/>
  <c r="J234" i="9"/>
  <c r="H119" i="8"/>
  <c r="F119" i="8"/>
  <c r="E121" i="8"/>
  <c r="A65" i="8"/>
  <c r="D64" i="8"/>
  <c r="B64" i="8"/>
  <c r="B17" i="6"/>
  <c r="D16" i="6"/>
  <c r="B18" i="1"/>
  <c r="D18" i="1"/>
  <c r="A19" i="1"/>
  <c r="H117" i="9" l="1"/>
  <c r="E119" i="9"/>
  <c r="F117" i="9"/>
  <c r="E127" i="10"/>
  <c r="H125" i="10"/>
  <c r="F125" i="10"/>
  <c r="A67" i="10"/>
  <c r="D66" i="10"/>
  <c r="B66" i="10"/>
  <c r="L238" i="9"/>
  <c r="J238" i="9"/>
  <c r="I242" i="9"/>
  <c r="B61" i="9"/>
  <c r="A62" i="9"/>
  <c r="D61" i="9"/>
  <c r="B65" i="8"/>
  <c r="A66" i="8"/>
  <c r="D65" i="8"/>
  <c r="E123" i="8"/>
  <c r="H121" i="8"/>
  <c r="F121" i="8"/>
  <c r="B18" i="6"/>
  <c r="D17" i="6"/>
  <c r="D19" i="1"/>
  <c r="A20" i="1"/>
  <c r="B19" i="1"/>
  <c r="H119" i="9" l="1"/>
  <c r="F119" i="9"/>
  <c r="E121" i="9"/>
  <c r="B67" i="10"/>
  <c r="A68" i="10"/>
  <c r="D67" i="10"/>
  <c r="F127" i="10"/>
  <c r="H127" i="10"/>
  <c r="E129" i="10"/>
  <c r="I246" i="9"/>
  <c r="L242" i="9"/>
  <c r="J242" i="9"/>
  <c r="D62" i="9"/>
  <c r="B62" i="9"/>
  <c r="A63" i="9"/>
  <c r="H123" i="8"/>
  <c r="F123" i="8"/>
  <c r="E125" i="8"/>
  <c r="B66" i="8"/>
  <c r="A67" i="8"/>
  <c r="D66" i="8"/>
  <c r="B19" i="6"/>
  <c r="D18" i="6"/>
  <c r="B20" i="1"/>
  <c r="D20" i="1"/>
  <c r="A21" i="1"/>
  <c r="E123" i="9" l="1"/>
  <c r="H121" i="9"/>
  <c r="F121" i="9"/>
  <c r="E131" i="10"/>
  <c r="H129" i="10"/>
  <c r="F129" i="10"/>
  <c r="D68" i="10"/>
  <c r="A69" i="10"/>
  <c r="B68" i="10"/>
  <c r="A64" i="9"/>
  <c r="D63" i="9"/>
  <c r="B63" i="9"/>
  <c r="L246" i="9"/>
  <c r="J246" i="9"/>
  <c r="I250" i="9"/>
  <c r="B67" i="8"/>
  <c r="A68" i="8"/>
  <c r="D67" i="8"/>
  <c r="E127" i="8"/>
  <c r="H125" i="8"/>
  <c r="F125" i="8"/>
  <c r="B20" i="6"/>
  <c r="D19" i="6"/>
  <c r="D21" i="1"/>
  <c r="B21" i="1"/>
  <c r="A22" i="1"/>
  <c r="E125" i="9" l="1"/>
  <c r="H123" i="9"/>
  <c r="F123" i="9"/>
  <c r="D69" i="10"/>
  <c r="B69" i="10"/>
  <c r="A70" i="10"/>
  <c r="F131" i="10"/>
  <c r="E133" i="10"/>
  <c r="H131" i="10"/>
  <c r="D64" i="9"/>
  <c r="A65" i="9"/>
  <c r="B64" i="9"/>
  <c r="L250" i="9"/>
  <c r="J250" i="9"/>
  <c r="I254" i="9"/>
  <c r="F127" i="8"/>
  <c r="E129" i="8"/>
  <c r="H127" i="8"/>
  <c r="A69" i="8"/>
  <c r="D68" i="8"/>
  <c r="B68" i="8"/>
  <c r="D20" i="6"/>
  <c r="B21" i="6"/>
  <c r="D21" i="6" s="1"/>
  <c r="D22" i="1"/>
  <c r="A23" i="1"/>
  <c r="B22" i="1"/>
  <c r="H125" i="9" l="1"/>
  <c r="E127" i="9"/>
  <c r="F125" i="9"/>
  <c r="A71" i="10"/>
  <c r="D70" i="10"/>
  <c r="B70" i="10"/>
  <c r="E135" i="10"/>
  <c r="H133" i="10"/>
  <c r="F133" i="10"/>
  <c r="A66" i="9"/>
  <c r="B65" i="9"/>
  <c r="D65" i="9"/>
  <c r="L254" i="9"/>
  <c r="I258" i="9"/>
  <c r="J254" i="9"/>
  <c r="A70" i="8"/>
  <c r="D69" i="8"/>
  <c r="B69" i="8"/>
  <c r="E131" i="8"/>
  <c r="H129" i="8"/>
  <c r="F129" i="8"/>
  <c r="B23" i="1"/>
  <c r="D23" i="1"/>
  <c r="A24" i="1"/>
  <c r="H127" i="9" l="1"/>
  <c r="F127" i="9"/>
  <c r="E129" i="9"/>
  <c r="E137" i="10"/>
  <c r="F135" i="10"/>
  <c r="H135" i="10"/>
  <c r="B71" i="10"/>
  <c r="A72" i="10"/>
  <c r="D71" i="10"/>
  <c r="L258" i="9"/>
  <c r="J258" i="9"/>
  <c r="D66" i="9"/>
  <c r="A67" i="9"/>
  <c r="B66" i="9"/>
  <c r="E133" i="8"/>
  <c r="F131" i="8"/>
  <c r="H131" i="8"/>
  <c r="B70" i="8"/>
  <c r="A71" i="8"/>
  <c r="D70" i="8"/>
  <c r="D24" i="1"/>
  <c r="A25" i="1"/>
  <c r="B24" i="1"/>
  <c r="E131" i="9" l="1"/>
  <c r="H129" i="9"/>
  <c r="F129" i="9"/>
  <c r="A73" i="10"/>
  <c r="D72" i="10"/>
  <c r="B72" i="10"/>
  <c r="E139" i="10"/>
  <c r="H137" i="10"/>
  <c r="F137" i="10"/>
  <c r="B67" i="9"/>
  <c r="D67" i="9"/>
  <c r="A68" i="9"/>
  <c r="B71" i="8"/>
  <c r="D71" i="8"/>
  <c r="A72" i="8"/>
  <c r="H133" i="8"/>
  <c r="F133" i="8"/>
  <c r="E135" i="8"/>
  <c r="B25" i="1"/>
  <c r="A26" i="1"/>
  <c r="D25" i="1"/>
  <c r="E133" i="9" l="1"/>
  <c r="F131" i="9"/>
  <c r="H131" i="9"/>
  <c r="H139" i="10"/>
  <c r="F139" i="10"/>
  <c r="E141" i="10"/>
  <c r="A74" i="10"/>
  <c r="B73" i="10"/>
  <c r="D73" i="10"/>
  <c r="D68" i="9"/>
  <c r="A69" i="9"/>
  <c r="B68" i="9"/>
  <c r="H135" i="8"/>
  <c r="F135" i="8"/>
  <c r="E137" i="8"/>
  <c r="D72" i="8"/>
  <c r="B72" i="8"/>
  <c r="A73" i="8"/>
  <c r="B26" i="1"/>
  <c r="D26" i="1"/>
  <c r="A27" i="1"/>
  <c r="H133" i="9" l="1"/>
  <c r="F133" i="9"/>
  <c r="E135" i="9"/>
  <c r="E143" i="10"/>
  <c r="H141" i="10"/>
  <c r="F141" i="10"/>
  <c r="D74" i="10"/>
  <c r="B74" i="10"/>
  <c r="A75" i="10"/>
  <c r="D69" i="9"/>
  <c r="B69" i="9"/>
  <c r="A70" i="9"/>
  <c r="D73" i="8"/>
  <c r="A74" i="8"/>
  <c r="B73" i="8"/>
  <c r="E139" i="8"/>
  <c r="H137" i="8"/>
  <c r="F137" i="8"/>
  <c r="D27" i="1"/>
  <c r="A28" i="1"/>
  <c r="B27" i="1"/>
  <c r="H135" i="9" l="1"/>
  <c r="E137" i="9"/>
  <c r="F135" i="9"/>
  <c r="D75" i="10"/>
  <c r="B75" i="10"/>
  <c r="A76" i="10"/>
  <c r="H143" i="10"/>
  <c r="F143" i="10"/>
  <c r="E145" i="10"/>
  <c r="B70" i="9"/>
  <c r="A71" i="9"/>
  <c r="D70" i="9"/>
  <c r="H139" i="8"/>
  <c r="F139" i="8"/>
  <c r="E141" i="8"/>
  <c r="A75" i="8"/>
  <c r="D74" i="8"/>
  <c r="B74" i="8"/>
  <c r="B28" i="1"/>
  <c r="D28" i="1"/>
  <c r="A29" i="1"/>
  <c r="F137" i="9" l="1"/>
  <c r="E139" i="9"/>
  <c r="H137" i="9"/>
  <c r="E147" i="10"/>
  <c r="H145" i="10"/>
  <c r="F145" i="10"/>
  <c r="B76" i="10"/>
  <c r="A77" i="10"/>
  <c r="D76" i="10"/>
  <c r="D71" i="9"/>
  <c r="B71" i="9"/>
  <c r="A72" i="9"/>
  <c r="B75" i="8"/>
  <c r="A76" i="8"/>
  <c r="D75" i="8"/>
  <c r="H141" i="8"/>
  <c r="E143" i="8"/>
  <c r="F141" i="8"/>
  <c r="A30" i="1"/>
  <c r="D29" i="1"/>
  <c r="B29" i="1"/>
  <c r="F139" i="9" l="1"/>
  <c r="E141" i="9"/>
  <c r="H139" i="9"/>
  <c r="A78" i="10"/>
  <c r="D77" i="10"/>
  <c r="B77" i="10"/>
  <c r="H147" i="10"/>
  <c r="F147" i="10"/>
  <c r="E149" i="10"/>
  <c r="D72" i="9"/>
  <c r="B72" i="9"/>
  <c r="A73" i="9"/>
  <c r="H143" i="8"/>
  <c r="F143" i="8"/>
  <c r="E145" i="8"/>
  <c r="B76" i="8"/>
  <c r="A77" i="8"/>
  <c r="D76" i="8"/>
  <c r="A31" i="1"/>
  <c r="D30" i="1"/>
  <c r="B30" i="1"/>
  <c r="H141" i="9" l="1"/>
  <c r="F141" i="9"/>
  <c r="E143" i="9"/>
  <c r="E151" i="10"/>
  <c r="H149" i="10"/>
  <c r="F149" i="10"/>
  <c r="B78" i="10"/>
  <c r="D78" i="10"/>
  <c r="A79" i="10"/>
  <c r="A74" i="9"/>
  <c r="D73" i="9"/>
  <c r="B73" i="9"/>
  <c r="D77" i="8"/>
  <c r="B77" i="8"/>
  <c r="A78" i="8"/>
  <c r="E147" i="8"/>
  <c r="H145" i="8"/>
  <c r="F145" i="8"/>
  <c r="D31" i="1"/>
  <c r="B31" i="1"/>
  <c r="A32" i="1"/>
  <c r="H143" i="9" l="1"/>
  <c r="E145" i="9"/>
  <c r="F143" i="9"/>
  <c r="D79" i="10"/>
  <c r="B79" i="10"/>
  <c r="A80" i="10"/>
  <c r="H151" i="10"/>
  <c r="E153" i="10"/>
  <c r="F151" i="10"/>
  <c r="D74" i="9"/>
  <c r="A75" i="9"/>
  <c r="B74" i="9"/>
  <c r="H147" i="8"/>
  <c r="F147" i="8"/>
  <c r="E149" i="8"/>
  <c r="D78" i="8"/>
  <c r="A79" i="8"/>
  <c r="B78" i="8"/>
  <c r="A33" i="1"/>
  <c r="D32" i="1"/>
  <c r="B32" i="1"/>
  <c r="F145" i="9" l="1"/>
  <c r="E147" i="9"/>
  <c r="H145" i="9"/>
  <c r="B80" i="10"/>
  <c r="A81" i="10"/>
  <c r="D80" i="10"/>
  <c r="F153" i="10"/>
  <c r="H153" i="10"/>
  <c r="E155" i="10"/>
  <c r="B75" i="9"/>
  <c r="A76" i="9"/>
  <c r="D75" i="9"/>
  <c r="B79" i="8"/>
  <c r="A80" i="8"/>
  <c r="D79" i="8"/>
  <c r="H149" i="8"/>
  <c r="E151" i="8"/>
  <c r="F149" i="8"/>
  <c r="B33" i="1"/>
  <c r="D33" i="1"/>
  <c r="A34" i="1"/>
  <c r="E149" i="9" l="1"/>
  <c r="F147" i="9"/>
  <c r="H147" i="9"/>
  <c r="A82" i="10"/>
  <c r="D81" i="10"/>
  <c r="B81" i="10"/>
  <c r="E157" i="10"/>
  <c r="H155" i="10"/>
  <c r="F155" i="10"/>
  <c r="A77" i="9"/>
  <c r="D76" i="9"/>
  <c r="B76" i="9"/>
  <c r="E153" i="8"/>
  <c r="H151" i="8"/>
  <c r="F151" i="8"/>
  <c r="B80" i="8"/>
  <c r="D80" i="8"/>
  <c r="A81" i="8"/>
  <c r="D34" i="1"/>
  <c r="A35" i="1"/>
  <c r="B34" i="1"/>
  <c r="H149" i="9" l="1"/>
  <c r="E151" i="9"/>
  <c r="F149" i="9"/>
  <c r="F157" i="10"/>
  <c r="E159" i="10"/>
  <c r="H157" i="10"/>
  <c r="A83" i="10"/>
  <c r="B82" i="10"/>
  <c r="D82" i="10"/>
  <c r="D77" i="9"/>
  <c r="B77" i="9"/>
  <c r="A78" i="9"/>
  <c r="D81" i="8"/>
  <c r="B81" i="8"/>
  <c r="A82" i="8"/>
  <c r="F153" i="8"/>
  <c r="H153" i="8"/>
  <c r="E155" i="8"/>
  <c r="A36" i="1"/>
  <c r="D35" i="1"/>
  <c r="B35" i="1"/>
  <c r="F151" i="9" l="1"/>
  <c r="E153" i="9"/>
  <c r="H151" i="9"/>
  <c r="E161" i="10"/>
  <c r="H159" i="10"/>
  <c r="F159" i="10"/>
  <c r="D83" i="10"/>
  <c r="B83" i="10"/>
  <c r="A84" i="10"/>
  <c r="B78" i="9"/>
  <c r="A79" i="9"/>
  <c r="D78" i="9"/>
  <c r="E157" i="8"/>
  <c r="H155" i="8"/>
  <c r="F155" i="8"/>
  <c r="A83" i="8"/>
  <c r="D82" i="8"/>
  <c r="B82" i="8"/>
  <c r="D36" i="1"/>
  <c r="B36" i="1"/>
  <c r="A37" i="1"/>
  <c r="F153" i="9" l="1"/>
  <c r="E155" i="9"/>
  <c r="H153" i="9"/>
  <c r="B84" i="10"/>
  <c r="A85" i="10"/>
  <c r="D84" i="10"/>
  <c r="F161" i="10"/>
  <c r="H161" i="10"/>
  <c r="E163" i="10"/>
  <c r="D79" i="9"/>
  <c r="B79" i="9"/>
  <c r="A80" i="9"/>
  <c r="A84" i="8"/>
  <c r="D83" i="8"/>
  <c r="B83" i="8"/>
  <c r="E159" i="8"/>
  <c r="F157" i="8"/>
  <c r="H157" i="8"/>
  <c r="A38" i="1"/>
  <c r="D37" i="1"/>
  <c r="B37" i="1"/>
  <c r="E157" i="9" l="1"/>
  <c r="H155" i="9"/>
  <c r="F155" i="9"/>
  <c r="E165" i="10"/>
  <c r="H163" i="10"/>
  <c r="F163" i="10"/>
  <c r="A86" i="10"/>
  <c r="D85" i="10"/>
  <c r="B85" i="10"/>
  <c r="D80" i="9"/>
  <c r="B80" i="9"/>
  <c r="A81" i="9"/>
  <c r="H159" i="8"/>
  <c r="F159" i="8"/>
  <c r="E161" i="8"/>
  <c r="B84" i="8"/>
  <c r="A85" i="8"/>
  <c r="D84" i="8"/>
  <c r="B38" i="1"/>
  <c r="A39" i="1"/>
  <c r="D38" i="1"/>
  <c r="E159" i="9" l="1"/>
  <c r="H157" i="9"/>
  <c r="F157" i="9"/>
  <c r="D86" i="10"/>
  <c r="B86" i="10"/>
  <c r="A87" i="10"/>
  <c r="F165" i="10"/>
  <c r="E167" i="10"/>
  <c r="H165" i="10"/>
  <c r="A82" i="9"/>
  <c r="D81" i="9"/>
  <c r="B81" i="9"/>
  <c r="E163" i="8"/>
  <c r="H161" i="8"/>
  <c r="F161" i="8"/>
  <c r="D85" i="8"/>
  <c r="B85" i="8"/>
  <c r="A86" i="8"/>
  <c r="B39" i="1"/>
  <c r="D39" i="1"/>
  <c r="A40" i="1"/>
  <c r="H159" i="9" l="1"/>
  <c r="F159" i="9"/>
  <c r="E161" i="9"/>
  <c r="H167" i="10"/>
  <c r="E169" i="10"/>
  <c r="F167" i="10"/>
  <c r="D87" i="10"/>
  <c r="B87" i="10"/>
  <c r="A88" i="10"/>
  <c r="D82" i="9"/>
  <c r="A83" i="9"/>
  <c r="B82" i="9"/>
  <c r="D86" i="8"/>
  <c r="B86" i="8"/>
  <c r="A87" i="8"/>
  <c r="H163" i="8"/>
  <c r="F163" i="8"/>
  <c r="E165" i="8"/>
  <c r="A41" i="1"/>
  <c r="D40" i="1"/>
  <c r="B40" i="1"/>
  <c r="E163" i="9" l="1"/>
  <c r="H161" i="9"/>
  <c r="F161" i="9"/>
  <c r="A89" i="10"/>
  <c r="B88" i="10"/>
  <c r="D88" i="10"/>
  <c r="H169" i="10"/>
  <c r="F169" i="10"/>
  <c r="E171" i="10"/>
  <c r="B83" i="9"/>
  <c r="A84" i="9"/>
  <c r="D83" i="9"/>
  <c r="E167" i="8"/>
  <c r="H165" i="8"/>
  <c r="F165" i="8"/>
  <c r="D87" i="8"/>
  <c r="B87" i="8"/>
  <c r="A88" i="8"/>
  <c r="D41" i="1"/>
  <c r="B41" i="1"/>
  <c r="A42" i="1"/>
  <c r="E165" i="9" l="1"/>
  <c r="H163" i="9"/>
  <c r="F163" i="9"/>
  <c r="E173" i="10"/>
  <c r="H171" i="10"/>
  <c r="F171" i="10"/>
  <c r="B89" i="10"/>
  <c r="A90" i="10"/>
  <c r="D89" i="10"/>
  <c r="A85" i="9"/>
  <c r="D84" i="9"/>
  <c r="B84" i="9"/>
  <c r="D88" i="8"/>
  <c r="A89" i="8"/>
  <c r="B88" i="8"/>
  <c r="E169" i="8"/>
  <c r="F167" i="8"/>
  <c r="H167" i="8"/>
  <c r="A43" i="1"/>
  <c r="D42" i="1"/>
  <c r="B42" i="1"/>
  <c r="E167" i="9" l="1"/>
  <c r="H165" i="9"/>
  <c r="F165" i="9"/>
  <c r="D90" i="10"/>
  <c r="A91" i="10"/>
  <c r="B90" i="10"/>
  <c r="H173" i="10"/>
  <c r="F173" i="10"/>
  <c r="E175" i="10"/>
  <c r="D85" i="9"/>
  <c r="B85" i="9"/>
  <c r="A86" i="9"/>
  <c r="A90" i="8"/>
  <c r="D89" i="8"/>
  <c r="B89" i="8"/>
  <c r="H169" i="8"/>
  <c r="F169" i="8"/>
  <c r="E171" i="8"/>
  <c r="A44" i="1"/>
  <c r="B43" i="1"/>
  <c r="D43" i="1"/>
  <c r="H167" i="9" l="1"/>
  <c r="F167" i="9"/>
  <c r="E169" i="9"/>
  <c r="E177" i="10"/>
  <c r="H175" i="10"/>
  <c r="F175" i="10"/>
  <c r="D91" i="10"/>
  <c r="B91" i="10"/>
  <c r="A92" i="10"/>
  <c r="B86" i="9"/>
  <c r="A87" i="9"/>
  <c r="D86" i="9"/>
  <c r="E173" i="8"/>
  <c r="H171" i="8"/>
  <c r="F171" i="8"/>
  <c r="A91" i="8"/>
  <c r="D90" i="8"/>
  <c r="B90" i="8"/>
  <c r="A45" i="1"/>
  <c r="B44" i="1"/>
  <c r="D44" i="1"/>
  <c r="E171" i="9" l="1"/>
  <c r="H169" i="9"/>
  <c r="F169" i="9"/>
  <c r="A93" i="10"/>
  <c r="D92" i="10"/>
  <c r="B92" i="10"/>
  <c r="H177" i="10"/>
  <c r="F177" i="10"/>
  <c r="E179" i="10"/>
  <c r="D87" i="9"/>
  <c r="B87" i="9"/>
  <c r="A88" i="9"/>
  <c r="D91" i="8"/>
  <c r="B91" i="8"/>
  <c r="A92" i="8"/>
  <c r="F173" i="8"/>
  <c r="H173" i="8"/>
  <c r="E175" i="8"/>
  <c r="A46" i="1"/>
  <c r="B45" i="1"/>
  <c r="D45" i="1"/>
  <c r="F171" i="9" l="1"/>
  <c r="H171" i="9"/>
  <c r="E173" i="9"/>
  <c r="E181" i="10"/>
  <c r="H179" i="10"/>
  <c r="F179" i="10"/>
  <c r="B93" i="10"/>
  <c r="A94" i="10"/>
  <c r="D93" i="10"/>
  <c r="D88" i="9"/>
  <c r="B88" i="9"/>
  <c r="A89" i="9"/>
  <c r="H175" i="8"/>
  <c r="F175" i="8"/>
  <c r="D92" i="8"/>
  <c r="B92" i="8"/>
  <c r="A93" i="8"/>
  <c r="B46" i="1"/>
  <c r="A47" i="1"/>
  <c r="D46" i="1"/>
  <c r="E175" i="9" l="1"/>
  <c r="H173" i="9"/>
  <c r="F173" i="9"/>
  <c r="D94" i="10"/>
  <c r="A95" i="10"/>
  <c r="B94" i="10"/>
  <c r="H181" i="10"/>
  <c r="F181" i="10"/>
  <c r="E183" i="10"/>
  <c r="A90" i="9"/>
  <c r="D89" i="9"/>
  <c r="B89" i="9"/>
  <c r="D93" i="8"/>
  <c r="A94" i="8"/>
  <c r="B93" i="8"/>
  <c r="A48" i="1"/>
  <c r="D47" i="1"/>
  <c r="B47" i="1"/>
  <c r="F175" i="9" l="1"/>
  <c r="E177" i="9"/>
  <c r="H175" i="9"/>
  <c r="H183" i="10"/>
  <c r="E185" i="10"/>
  <c r="F183" i="10"/>
  <c r="D95" i="10"/>
  <c r="B95" i="10"/>
  <c r="A96" i="10"/>
  <c r="D90" i="9"/>
  <c r="A91" i="9"/>
  <c r="B90" i="9"/>
  <c r="A95" i="8"/>
  <c r="D94" i="8"/>
  <c r="B94" i="8"/>
  <c r="B48" i="1"/>
  <c r="A49" i="1"/>
  <c r="D48" i="1"/>
  <c r="E179" i="9" l="1"/>
  <c r="H177" i="9"/>
  <c r="F177" i="9"/>
  <c r="A97" i="10"/>
  <c r="D96" i="10"/>
  <c r="B96" i="10"/>
  <c r="E187" i="10"/>
  <c r="H185" i="10"/>
  <c r="F185" i="10"/>
  <c r="B91" i="9"/>
  <c r="A92" i="9"/>
  <c r="D91" i="9"/>
  <c r="B95" i="8"/>
  <c r="A96" i="8"/>
  <c r="D95" i="8"/>
  <c r="D49" i="1"/>
  <c r="B49" i="1"/>
  <c r="A50" i="1"/>
  <c r="F179" i="9" l="1"/>
  <c r="E181" i="9"/>
  <c r="H179" i="9"/>
  <c r="F187" i="10"/>
  <c r="E189" i="10"/>
  <c r="H187" i="10"/>
  <c r="B97" i="10"/>
  <c r="A98" i="10"/>
  <c r="D97" i="10"/>
  <c r="A93" i="9"/>
  <c r="B92" i="9"/>
  <c r="D92" i="9"/>
  <c r="D96" i="8"/>
  <c r="B96" i="8"/>
  <c r="A97" i="8"/>
  <c r="D50" i="1"/>
  <c r="A51" i="1"/>
  <c r="B50" i="1"/>
  <c r="E183" i="9" l="1"/>
  <c r="H181" i="9"/>
  <c r="F181" i="9"/>
  <c r="D98" i="10"/>
  <c r="A99" i="10"/>
  <c r="B98" i="10"/>
  <c r="E191" i="10"/>
  <c r="H189" i="10"/>
  <c r="F189" i="10"/>
  <c r="D93" i="9"/>
  <c r="B93" i="9"/>
  <c r="A94" i="9"/>
  <c r="D97" i="8"/>
  <c r="B97" i="8"/>
  <c r="A98" i="8"/>
  <c r="B51" i="1"/>
  <c r="A52" i="1"/>
  <c r="D51" i="1"/>
  <c r="E185" i="9" l="1"/>
  <c r="H183" i="9"/>
  <c r="F183" i="9"/>
  <c r="F191" i="10"/>
  <c r="E193" i="10"/>
  <c r="H191" i="10"/>
  <c r="D99" i="10"/>
  <c r="B99" i="10"/>
  <c r="A100" i="10"/>
  <c r="B94" i="9"/>
  <c r="A95" i="9"/>
  <c r="D94" i="9"/>
  <c r="A99" i="8"/>
  <c r="D98" i="8"/>
  <c r="B98" i="8"/>
  <c r="D52" i="1"/>
  <c r="A53" i="1"/>
  <c r="B52" i="1"/>
  <c r="H185" i="9" l="1"/>
  <c r="F185" i="9"/>
  <c r="E187" i="9"/>
  <c r="A101" i="10"/>
  <c r="D100" i="10"/>
  <c r="B100" i="10"/>
  <c r="E195" i="10"/>
  <c r="H193" i="10"/>
  <c r="F193" i="10"/>
  <c r="D95" i="9"/>
  <c r="B95" i="9"/>
  <c r="A96" i="9"/>
  <c r="B99" i="8"/>
  <c r="A100" i="8"/>
  <c r="D99" i="8"/>
  <c r="B53" i="1"/>
  <c r="A54" i="1"/>
  <c r="D53" i="1"/>
  <c r="F187" i="9" l="1"/>
  <c r="E189" i="9"/>
  <c r="H187" i="9"/>
  <c r="B101" i="10"/>
  <c r="A102" i="10"/>
  <c r="D101" i="10"/>
  <c r="F195" i="10"/>
  <c r="H195" i="10"/>
  <c r="E197" i="10"/>
  <c r="D96" i="9"/>
  <c r="B96" i="9"/>
  <c r="A97" i="9"/>
  <c r="B100" i="8"/>
  <c r="A101" i="8"/>
  <c r="D100" i="8"/>
  <c r="B54" i="1"/>
  <c r="D54" i="1"/>
  <c r="A55" i="1"/>
  <c r="H189" i="9" l="1"/>
  <c r="F189" i="9"/>
  <c r="E191" i="9"/>
  <c r="E199" i="10"/>
  <c r="H197" i="10"/>
  <c r="F197" i="10"/>
  <c r="D102" i="10"/>
  <c r="A103" i="10"/>
  <c r="B102" i="10"/>
  <c r="A98" i="9"/>
  <c r="D97" i="9"/>
  <c r="B97" i="9"/>
  <c r="D101" i="8"/>
  <c r="B101" i="8"/>
  <c r="A102" i="8"/>
  <c r="A56" i="1"/>
  <c r="D55" i="1"/>
  <c r="B55" i="1"/>
  <c r="E193" i="9" l="1"/>
  <c r="H191" i="9"/>
  <c r="F191" i="9"/>
  <c r="D103" i="10"/>
  <c r="B103" i="10"/>
  <c r="A104" i="10"/>
  <c r="E201" i="10"/>
  <c r="F199" i="10"/>
  <c r="H199" i="10"/>
  <c r="D98" i="9"/>
  <c r="A99" i="9"/>
  <c r="B98" i="9"/>
  <c r="D102" i="8"/>
  <c r="B102" i="8"/>
  <c r="A103" i="8"/>
  <c r="B56" i="1"/>
  <c r="A57" i="1"/>
  <c r="D56" i="1"/>
  <c r="H193" i="9" l="1"/>
  <c r="F193" i="9"/>
  <c r="E195" i="9"/>
  <c r="A105" i="10"/>
  <c r="D104" i="10"/>
  <c r="B104" i="10"/>
  <c r="E203" i="10"/>
  <c r="H201" i="10"/>
  <c r="F201" i="10"/>
  <c r="B99" i="9"/>
  <c r="A100" i="9"/>
  <c r="D99" i="9"/>
  <c r="D103" i="8"/>
  <c r="B103" i="8"/>
  <c r="A104" i="8"/>
  <c r="D57" i="1"/>
  <c r="B57" i="1"/>
  <c r="A58" i="1"/>
  <c r="F195" i="9" l="1"/>
  <c r="E197" i="9"/>
  <c r="H195" i="9"/>
  <c r="B105" i="10"/>
  <c r="A106" i="10"/>
  <c r="D105" i="10"/>
  <c r="H203" i="10"/>
  <c r="F203" i="10"/>
  <c r="E205" i="10"/>
  <c r="A101" i="9"/>
  <c r="B100" i="9"/>
  <c r="D100" i="9"/>
  <c r="D104" i="8"/>
  <c r="A105" i="8"/>
  <c r="B104" i="8"/>
  <c r="D58" i="1"/>
  <c r="A59" i="1"/>
  <c r="B58" i="1"/>
  <c r="E199" i="9" l="1"/>
  <c r="H197" i="9"/>
  <c r="F197" i="9"/>
  <c r="E207" i="10"/>
  <c r="H205" i="10"/>
  <c r="F205" i="10"/>
  <c r="B106" i="10"/>
  <c r="D106" i="10"/>
  <c r="A107" i="10"/>
  <c r="D101" i="9"/>
  <c r="B101" i="9"/>
  <c r="A102" i="9"/>
  <c r="A106" i="8"/>
  <c r="D105" i="8"/>
  <c r="B105" i="8"/>
  <c r="B59" i="1"/>
  <c r="D59" i="1"/>
  <c r="A60" i="1"/>
  <c r="F199" i="9" l="1"/>
  <c r="E201" i="9"/>
  <c r="H199" i="9"/>
  <c r="A108" i="10"/>
  <c r="D107" i="10"/>
  <c r="B107" i="10"/>
  <c r="H207" i="10"/>
  <c r="F207" i="10"/>
  <c r="E209" i="10"/>
  <c r="A103" i="9"/>
  <c r="D102" i="9"/>
  <c r="B102" i="9"/>
  <c r="A107" i="8"/>
  <c r="D106" i="8"/>
  <c r="B106" i="8"/>
  <c r="A61" i="1"/>
  <c r="D60" i="1"/>
  <c r="B60" i="1"/>
  <c r="H201" i="9" l="1"/>
  <c r="E203" i="9"/>
  <c r="F201" i="9"/>
  <c r="E211" i="10"/>
  <c r="H209" i="10"/>
  <c r="F209" i="10"/>
  <c r="A109" i="10"/>
  <c r="B108" i="10"/>
  <c r="D108" i="10"/>
  <c r="D103" i="9"/>
  <c r="B103" i="9"/>
  <c r="A104" i="9"/>
  <c r="D107" i="8"/>
  <c r="B107" i="8"/>
  <c r="A108" i="8"/>
  <c r="B61" i="1"/>
  <c r="A62" i="1"/>
  <c r="D61" i="1"/>
  <c r="E205" i="9" l="1"/>
  <c r="H203" i="9"/>
  <c r="F203" i="9"/>
  <c r="D109" i="10"/>
  <c r="A110" i="10"/>
  <c r="B109" i="10"/>
  <c r="H211" i="10"/>
  <c r="F211" i="10"/>
  <c r="E213" i="10"/>
  <c r="B104" i="9"/>
  <c r="A105" i="9"/>
  <c r="D104" i="9"/>
  <c r="D108" i="8"/>
  <c r="B108" i="8"/>
  <c r="A109" i="8"/>
  <c r="D62" i="1"/>
  <c r="B62" i="1"/>
  <c r="A63" i="1"/>
  <c r="E207" i="9" l="1"/>
  <c r="H205" i="9"/>
  <c r="F205" i="9"/>
  <c r="E215" i="10"/>
  <c r="H213" i="10"/>
  <c r="F213" i="10"/>
  <c r="B110" i="10"/>
  <c r="D110" i="10"/>
  <c r="A111" i="10"/>
  <c r="A106" i="9"/>
  <c r="D105" i="9"/>
  <c r="B105" i="9"/>
  <c r="D109" i="8"/>
  <c r="A110" i="8"/>
  <c r="B109" i="8"/>
  <c r="A64" i="1"/>
  <c r="D63" i="1"/>
  <c r="B63" i="1"/>
  <c r="E209" i="9" l="1"/>
  <c r="H207" i="9"/>
  <c r="F207" i="9"/>
  <c r="D111" i="10"/>
  <c r="B111" i="10"/>
  <c r="A112" i="10"/>
  <c r="H215" i="10"/>
  <c r="E217" i="10"/>
  <c r="F215" i="10"/>
  <c r="D106" i="9"/>
  <c r="B106" i="9"/>
  <c r="A107" i="9"/>
  <c r="A111" i="8"/>
  <c r="D110" i="8"/>
  <c r="B110" i="8"/>
  <c r="B64" i="1"/>
  <c r="D64" i="1"/>
  <c r="A65" i="1"/>
  <c r="H209" i="9" l="1"/>
  <c r="F209" i="9"/>
  <c r="E211" i="9"/>
  <c r="F217" i="10"/>
  <c r="H217" i="10"/>
  <c r="E219" i="10"/>
  <c r="B112" i="10"/>
  <c r="D112" i="10"/>
  <c r="A113" i="10"/>
  <c r="B107" i="9"/>
  <c r="A108" i="9"/>
  <c r="D107" i="9"/>
  <c r="D111" i="8"/>
  <c r="B111" i="8"/>
  <c r="A112" i="8"/>
  <c r="D65" i="1"/>
  <c r="A66" i="1"/>
  <c r="B65" i="1"/>
  <c r="E213" i="9" l="1"/>
  <c r="H211" i="9"/>
  <c r="F211" i="9"/>
  <c r="B113" i="10"/>
  <c r="D113" i="10"/>
  <c r="A114" i="10"/>
  <c r="E221" i="10"/>
  <c r="H219" i="10"/>
  <c r="F219" i="10"/>
  <c r="D108" i="9"/>
  <c r="B108" i="9"/>
  <c r="A109" i="9"/>
  <c r="D112" i="8"/>
  <c r="A113" i="8"/>
  <c r="B112" i="8"/>
  <c r="A67" i="1"/>
  <c r="D66" i="1"/>
  <c r="B66" i="1"/>
  <c r="E215" i="9" l="1"/>
  <c r="H213" i="9"/>
  <c r="F213" i="9"/>
  <c r="F221" i="10"/>
  <c r="H221" i="10"/>
  <c r="E223" i="10"/>
  <c r="A115" i="10"/>
  <c r="B114" i="10"/>
  <c r="D114" i="10"/>
  <c r="D109" i="9"/>
  <c r="B109" i="9"/>
  <c r="A110" i="9"/>
  <c r="A114" i="8"/>
  <c r="D113" i="8"/>
  <c r="B113" i="8"/>
  <c r="D67" i="1"/>
  <c r="B67" i="1"/>
  <c r="A68" i="1"/>
  <c r="E217" i="9" l="1"/>
  <c r="H215" i="9"/>
  <c r="F215" i="9"/>
  <c r="B115" i="10"/>
  <c r="D115" i="10"/>
  <c r="A116" i="10"/>
  <c r="H223" i="10"/>
  <c r="F223" i="10"/>
  <c r="A111" i="9"/>
  <c r="D110" i="9"/>
  <c r="B110" i="9"/>
  <c r="B114" i="8"/>
  <c r="A115" i="8"/>
  <c r="D114" i="8"/>
  <c r="D68" i="1"/>
  <c r="A69" i="1"/>
  <c r="B68" i="1"/>
  <c r="H217" i="9" l="1"/>
  <c r="F217" i="9"/>
  <c r="E219" i="9"/>
  <c r="D116" i="10"/>
  <c r="B116" i="10"/>
  <c r="A117" i="10"/>
  <c r="D111" i="9"/>
  <c r="A112" i="9"/>
  <c r="B111" i="9"/>
  <c r="D115" i="8"/>
  <c r="B115" i="8"/>
  <c r="A116" i="8"/>
  <c r="D69" i="1"/>
  <c r="B69" i="1"/>
  <c r="A70" i="1"/>
  <c r="E221" i="9" l="1"/>
  <c r="H219" i="9"/>
  <c r="F219" i="9"/>
  <c r="B117" i="10"/>
  <c r="A118" i="10"/>
  <c r="D117" i="10"/>
  <c r="B112" i="9"/>
  <c r="A113" i="9"/>
  <c r="D112" i="9"/>
  <c r="D116" i="8"/>
  <c r="B116" i="8"/>
  <c r="A117" i="8"/>
  <c r="A71" i="1"/>
  <c r="D70" i="1"/>
  <c r="B70" i="1"/>
  <c r="E223" i="9" l="1"/>
  <c r="H221" i="9"/>
  <c r="F221" i="9"/>
  <c r="A119" i="10"/>
  <c r="B118" i="10"/>
  <c r="D118" i="10"/>
  <c r="A114" i="9"/>
  <c r="D113" i="9"/>
  <c r="B113" i="9"/>
  <c r="D117" i="8"/>
  <c r="A118" i="8"/>
  <c r="B117" i="8"/>
  <c r="B71" i="1"/>
  <c r="A72" i="1"/>
  <c r="D71" i="1"/>
  <c r="E225" i="9" l="1"/>
  <c r="H223" i="9"/>
  <c r="F223" i="9"/>
  <c r="B119" i="10"/>
  <c r="A120" i="10"/>
  <c r="D119" i="10"/>
  <c r="D114" i="9"/>
  <c r="B114" i="9"/>
  <c r="A115" i="9"/>
  <c r="A119" i="8"/>
  <c r="D118" i="8"/>
  <c r="B118" i="8"/>
  <c r="D72" i="1"/>
  <c r="B72" i="1"/>
  <c r="A73" i="1"/>
  <c r="H225" i="9" l="1"/>
  <c r="F225" i="9"/>
  <c r="E227" i="9"/>
  <c r="A121" i="10"/>
  <c r="D120" i="10"/>
  <c r="B120" i="10"/>
  <c r="B115" i="9"/>
  <c r="A116" i="9"/>
  <c r="D115" i="9"/>
  <c r="A120" i="8"/>
  <c r="B119" i="8"/>
  <c r="D119" i="8"/>
  <c r="A74" i="1"/>
  <c r="D73" i="1"/>
  <c r="B73" i="1"/>
  <c r="E229" i="9" l="1"/>
  <c r="H227" i="9"/>
  <c r="F227" i="9"/>
  <c r="A122" i="10"/>
  <c r="D121" i="10"/>
  <c r="B121" i="10"/>
  <c r="D116" i="9"/>
  <c r="B116" i="9"/>
  <c r="A117" i="9"/>
  <c r="B120" i="8"/>
  <c r="A121" i="8"/>
  <c r="D120" i="8"/>
  <c r="A75" i="1"/>
  <c r="B74" i="1"/>
  <c r="D74" i="1"/>
  <c r="F229" i="9" l="1"/>
  <c r="H229" i="9"/>
  <c r="E231" i="9"/>
  <c r="D122" i="10"/>
  <c r="B122" i="10"/>
  <c r="A123" i="10"/>
  <c r="D117" i="9"/>
  <c r="B117" i="9"/>
  <c r="A118" i="9"/>
  <c r="B121" i="8"/>
  <c r="A122" i="8"/>
  <c r="D121" i="8"/>
  <c r="A76" i="1"/>
  <c r="D75" i="1"/>
  <c r="B75" i="1"/>
  <c r="E233" i="9" l="1"/>
  <c r="H231" i="9"/>
  <c r="F231" i="9"/>
  <c r="D123" i="10"/>
  <c r="B123" i="10"/>
  <c r="A124" i="10"/>
  <c r="A119" i="9"/>
  <c r="D118" i="9"/>
  <c r="B118" i="9"/>
  <c r="D122" i="8"/>
  <c r="B122" i="8"/>
  <c r="A123" i="8"/>
  <c r="B76" i="1"/>
  <c r="A77" i="1"/>
  <c r="D76" i="1"/>
  <c r="H233" i="9" l="1"/>
  <c r="F233" i="9"/>
  <c r="E235" i="9"/>
  <c r="A125" i="10"/>
  <c r="D124" i="10"/>
  <c r="B124" i="10"/>
  <c r="D119" i="9"/>
  <c r="B119" i="9"/>
  <c r="A120" i="9"/>
  <c r="A124" i="8"/>
  <c r="D123" i="8"/>
  <c r="B123" i="8"/>
  <c r="D77" i="1"/>
  <c r="B77" i="1"/>
  <c r="E237" i="9" l="1"/>
  <c r="H235" i="9"/>
  <c r="F235" i="9"/>
  <c r="A126" i="10"/>
  <c r="D125" i="10"/>
  <c r="B125" i="10"/>
  <c r="B120" i="9"/>
  <c r="A121" i="9"/>
  <c r="D120" i="9"/>
  <c r="A125" i="8"/>
  <c r="B124" i="8"/>
  <c r="D124" i="8"/>
  <c r="F237" i="9" l="1"/>
  <c r="H237" i="9"/>
  <c r="E239" i="9"/>
  <c r="D126" i="10"/>
  <c r="B126" i="10"/>
  <c r="A127" i="10"/>
  <c r="A122" i="9"/>
  <c r="D121" i="9"/>
  <c r="B121" i="9"/>
  <c r="B125" i="8"/>
  <c r="A126" i="8"/>
  <c r="D125" i="8"/>
  <c r="E241" i="9" l="1"/>
  <c r="H239" i="9"/>
  <c r="F239" i="9"/>
  <c r="D127" i="10"/>
  <c r="B127" i="10"/>
  <c r="A128" i="10"/>
  <c r="D122" i="9"/>
  <c r="B122" i="9"/>
  <c r="A123" i="9"/>
  <c r="B126" i="8"/>
  <c r="D126" i="8"/>
  <c r="A127" i="8"/>
  <c r="E243" i="9" l="1"/>
  <c r="H241" i="9"/>
  <c r="F241" i="9"/>
  <c r="A129" i="10"/>
  <c r="D128" i="10"/>
  <c r="B128" i="10"/>
  <c r="B123" i="9"/>
  <c r="A124" i="9"/>
  <c r="D123" i="9"/>
  <c r="D127" i="8"/>
  <c r="B127" i="8"/>
  <c r="A128" i="8"/>
  <c r="H243" i="9" l="1"/>
  <c r="F243" i="9"/>
  <c r="E245" i="9"/>
  <c r="A130" i="10"/>
  <c r="D129" i="10"/>
  <c r="B129" i="10"/>
  <c r="D124" i="9"/>
  <c r="B124" i="9"/>
  <c r="A125" i="9"/>
  <c r="D128" i="8"/>
  <c r="A129" i="8"/>
  <c r="B128" i="8"/>
  <c r="H245" i="9" l="1"/>
  <c r="F245" i="9"/>
  <c r="E247" i="9"/>
  <c r="D130" i="10"/>
  <c r="B130" i="10"/>
  <c r="A131" i="10"/>
  <c r="D125" i="9"/>
  <c r="B125" i="9"/>
  <c r="A126" i="9"/>
  <c r="A130" i="8"/>
  <c r="D129" i="8"/>
  <c r="B129" i="8"/>
  <c r="E249" i="9" l="1"/>
  <c r="H247" i="9"/>
  <c r="F247" i="9"/>
  <c r="D131" i="10"/>
  <c r="B131" i="10"/>
  <c r="A132" i="10"/>
  <c r="A127" i="9"/>
  <c r="D126" i="9"/>
  <c r="B126" i="9"/>
  <c r="B130" i="8"/>
  <c r="A131" i="8"/>
  <c r="D130" i="8"/>
  <c r="E251" i="9" l="1"/>
  <c r="H249" i="9"/>
  <c r="F249" i="9"/>
  <c r="A133" i="10"/>
  <c r="D132" i="10"/>
  <c r="B132" i="10"/>
  <c r="D127" i="9"/>
  <c r="A128" i="9"/>
  <c r="B127" i="9"/>
  <c r="D131" i="8"/>
  <c r="B131" i="8"/>
  <c r="A132" i="8"/>
  <c r="E253" i="9" l="1"/>
  <c r="H251" i="9"/>
  <c r="F251" i="9"/>
  <c r="A134" i="10"/>
  <c r="D133" i="10"/>
  <c r="B133" i="10"/>
  <c r="B128" i="9"/>
  <c r="A129" i="9"/>
  <c r="D128" i="9"/>
  <c r="D132" i="8"/>
  <c r="B132" i="8"/>
  <c r="A133" i="8"/>
  <c r="H253" i="9" l="1"/>
  <c r="F253" i="9"/>
  <c r="E255" i="9"/>
  <c r="D134" i="10"/>
  <c r="B134" i="10"/>
  <c r="A135" i="10"/>
  <c r="A130" i="9"/>
  <c r="D129" i="9"/>
  <c r="B129" i="9"/>
  <c r="D133" i="8"/>
  <c r="A134" i="8"/>
  <c r="B133" i="8"/>
  <c r="E257" i="9" l="1"/>
  <c r="H255" i="9"/>
  <c r="F255" i="9"/>
  <c r="D135" i="10"/>
  <c r="B135" i="10"/>
  <c r="A136" i="10"/>
  <c r="D130" i="9"/>
  <c r="B130" i="9"/>
  <c r="A131" i="9"/>
  <c r="A135" i="8"/>
  <c r="D134" i="8"/>
  <c r="B134" i="8"/>
  <c r="E259" i="9" l="1"/>
  <c r="H257" i="9"/>
  <c r="F257" i="9"/>
  <c r="A137" i="10"/>
  <c r="D136" i="10"/>
  <c r="B136" i="10"/>
  <c r="B131" i="9"/>
  <c r="A132" i="9"/>
  <c r="D131" i="9"/>
  <c r="A136" i="8"/>
  <c r="B135" i="8"/>
  <c r="D135" i="8"/>
  <c r="H259" i="9" l="1"/>
  <c r="F259" i="9"/>
  <c r="D137" i="10"/>
  <c r="B137" i="10"/>
  <c r="A138" i="10"/>
  <c r="D132" i="9"/>
  <c r="B132" i="9"/>
  <c r="A133" i="9"/>
  <c r="B136" i="8"/>
  <c r="A137" i="8"/>
  <c r="D136" i="8"/>
  <c r="D138" i="10" l="1"/>
  <c r="B138" i="10"/>
  <c r="A139" i="10"/>
  <c r="B133" i="9"/>
  <c r="A134" i="9"/>
  <c r="D133" i="9"/>
  <c r="B137" i="8"/>
  <c r="A138" i="8"/>
  <c r="D137" i="8"/>
  <c r="D139" i="10" l="1"/>
  <c r="B139" i="10"/>
  <c r="A140" i="10"/>
  <c r="A135" i="9"/>
  <c r="D134" i="9"/>
  <c r="B134" i="9"/>
  <c r="D138" i="8"/>
  <c r="B138" i="8"/>
  <c r="A139" i="8"/>
  <c r="A141" i="10" l="1"/>
  <c r="B140" i="10"/>
  <c r="D140" i="10"/>
  <c r="D135" i="9"/>
  <c r="B135" i="9"/>
  <c r="A136" i="9"/>
  <c r="A140" i="8"/>
  <c r="D139" i="8"/>
  <c r="B139" i="8"/>
  <c r="B141" i="10" l="1"/>
  <c r="A142" i="10"/>
  <c r="D141" i="10"/>
  <c r="B136" i="9"/>
  <c r="A137" i="9"/>
  <c r="D136" i="9"/>
  <c r="A141" i="8"/>
  <c r="B140" i="8"/>
  <c r="D140" i="8"/>
  <c r="D142" i="10" l="1"/>
  <c r="B142" i="10"/>
  <c r="A143" i="10"/>
  <c r="D137" i="9"/>
  <c r="B137" i="9"/>
  <c r="A138" i="9"/>
  <c r="B141" i="8"/>
  <c r="A142" i="8"/>
  <c r="D141" i="8"/>
  <c r="D143" i="10" l="1"/>
  <c r="B143" i="10"/>
  <c r="A144" i="10"/>
  <c r="D138" i="9"/>
  <c r="B138" i="9"/>
  <c r="A139" i="9"/>
  <c r="A143" i="8"/>
  <c r="B142" i="8"/>
  <c r="D142" i="8"/>
  <c r="A145" i="10" l="1"/>
  <c r="B144" i="10"/>
  <c r="D144" i="10"/>
  <c r="A140" i="9"/>
  <c r="D139" i="9"/>
  <c r="B139" i="9"/>
  <c r="A144" i="8"/>
  <c r="D143" i="8"/>
  <c r="B143" i="8"/>
  <c r="B145" i="10" l="1"/>
  <c r="A146" i="10"/>
  <c r="D145" i="10"/>
  <c r="D140" i="9"/>
  <c r="B140" i="9"/>
  <c r="A141" i="9"/>
  <c r="B144" i="8"/>
  <c r="A145" i="8"/>
  <c r="D144" i="8"/>
  <c r="D146" i="10" l="1"/>
  <c r="B146" i="10"/>
  <c r="A147" i="10"/>
  <c r="B141" i="9"/>
  <c r="A142" i="9"/>
  <c r="D141" i="9"/>
  <c r="B145" i="8"/>
  <c r="A146" i="8"/>
  <c r="D145" i="8"/>
  <c r="D147" i="10" l="1"/>
  <c r="B147" i="10"/>
  <c r="A148" i="10"/>
  <c r="A143" i="9"/>
  <c r="D142" i="9"/>
  <c r="B142" i="9"/>
  <c r="D146" i="8"/>
  <c r="B146" i="8"/>
  <c r="A147" i="8"/>
  <c r="A149" i="10" l="1"/>
  <c r="B148" i="10"/>
  <c r="D148" i="10"/>
  <c r="D143" i="9"/>
  <c r="B143" i="9"/>
  <c r="A144" i="9"/>
  <c r="A148" i="8"/>
  <c r="D147" i="8"/>
  <c r="B147" i="8"/>
  <c r="B149" i="10" l="1"/>
  <c r="A150" i="10"/>
  <c r="D149" i="10"/>
  <c r="B144" i="9"/>
  <c r="A145" i="9"/>
  <c r="D144" i="9"/>
  <c r="A149" i="8"/>
  <c r="D148" i="8"/>
  <c r="B148" i="8"/>
  <c r="D150" i="10" l="1"/>
  <c r="B150" i="10"/>
  <c r="A151" i="10"/>
  <c r="D145" i="9"/>
  <c r="B145" i="9"/>
  <c r="A146" i="9"/>
  <c r="B149" i="8"/>
  <c r="A150" i="8"/>
  <c r="D149" i="8"/>
  <c r="D151" i="10" l="1"/>
  <c r="B151" i="10"/>
  <c r="A152" i="10"/>
  <c r="D146" i="9"/>
  <c r="B146" i="9"/>
  <c r="A147" i="9"/>
  <c r="B150" i="8"/>
  <c r="A151" i="8"/>
  <c r="D150" i="8"/>
  <c r="A153" i="10" l="1"/>
  <c r="B152" i="10"/>
  <c r="D152" i="10"/>
  <c r="A148" i="9"/>
  <c r="D147" i="9"/>
  <c r="B147" i="9"/>
  <c r="D151" i="8"/>
  <c r="B151" i="8"/>
  <c r="A152" i="8"/>
  <c r="D153" i="10" l="1"/>
  <c r="B153" i="10"/>
  <c r="A154" i="10"/>
  <c r="A149" i="9"/>
  <c r="B148" i="9"/>
  <c r="D148" i="9"/>
  <c r="D152" i="8"/>
  <c r="B152" i="8"/>
  <c r="A153" i="8"/>
  <c r="A155" i="10" l="1"/>
  <c r="D154" i="10"/>
  <c r="B154" i="10"/>
  <c r="D149" i="9"/>
  <c r="B149" i="9"/>
  <c r="A150" i="9"/>
  <c r="D153" i="8"/>
  <c r="B153" i="8"/>
  <c r="A154" i="8"/>
  <c r="A156" i="10" l="1"/>
  <c r="D155" i="10"/>
  <c r="B155" i="10"/>
  <c r="A151" i="9"/>
  <c r="D150" i="9"/>
  <c r="B150" i="9"/>
  <c r="A155" i="8"/>
  <c r="D154" i="8"/>
  <c r="B154" i="8"/>
  <c r="D156" i="10" l="1"/>
  <c r="B156" i="10"/>
  <c r="A157" i="10"/>
  <c r="D151" i="9"/>
  <c r="B151" i="9"/>
  <c r="A152" i="9"/>
  <c r="B155" i="8"/>
  <c r="A156" i="8"/>
  <c r="D155" i="8"/>
  <c r="D157" i="10" l="1"/>
  <c r="B157" i="10"/>
  <c r="A158" i="10"/>
  <c r="D152" i="9"/>
  <c r="B152" i="9"/>
  <c r="A153" i="9"/>
  <c r="D156" i="8"/>
  <c r="B156" i="8"/>
  <c r="A157" i="8"/>
  <c r="A159" i="10" l="1"/>
  <c r="D158" i="10"/>
  <c r="B158" i="10"/>
  <c r="A154" i="9"/>
  <c r="D153" i="9"/>
  <c r="B153" i="9"/>
  <c r="D157" i="8"/>
  <c r="B157" i="8"/>
  <c r="A158" i="8"/>
  <c r="A160" i="10" l="1"/>
  <c r="D159" i="10"/>
  <c r="B159" i="10"/>
  <c r="D154" i="9"/>
  <c r="B154" i="9"/>
  <c r="A155" i="9"/>
  <c r="A159" i="8"/>
  <c r="D158" i="8"/>
  <c r="B158" i="8"/>
  <c r="D160" i="10" l="1"/>
  <c r="B160" i="10"/>
  <c r="A161" i="10"/>
  <c r="B155" i="9"/>
  <c r="A156" i="9"/>
  <c r="D155" i="9"/>
  <c r="A160" i="8"/>
  <c r="D159" i="8"/>
  <c r="B159" i="8"/>
  <c r="D161" i="10" l="1"/>
  <c r="B161" i="10"/>
  <c r="A162" i="10"/>
  <c r="D156" i="9"/>
  <c r="A157" i="9"/>
  <c r="B156" i="9"/>
  <c r="B160" i="8"/>
  <c r="A161" i="8"/>
  <c r="D160" i="8"/>
  <c r="A163" i="10" l="1"/>
  <c r="D162" i="10"/>
  <c r="B162" i="10"/>
  <c r="D157" i="9"/>
  <c r="B157" i="9"/>
  <c r="A158" i="9"/>
  <c r="B161" i="8"/>
  <c r="A162" i="8"/>
  <c r="D161" i="8"/>
  <c r="A164" i="10" l="1"/>
  <c r="D163" i="10"/>
  <c r="B163" i="10"/>
  <c r="D158" i="9"/>
  <c r="B158" i="9"/>
  <c r="A159" i="9"/>
  <c r="D162" i="8"/>
  <c r="B162" i="8"/>
  <c r="A163" i="8"/>
  <c r="D164" i="10" l="1"/>
  <c r="B164" i="10"/>
  <c r="A165" i="10"/>
  <c r="D159" i="9"/>
  <c r="B159" i="9"/>
  <c r="A160" i="9"/>
  <c r="A164" i="8"/>
  <c r="D163" i="8"/>
  <c r="B163" i="8"/>
  <c r="D165" i="10" l="1"/>
  <c r="B165" i="10"/>
  <c r="A166" i="10"/>
  <c r="A161" i="9"/>
  <c r="D160" i="9"/>
  <c r="B160" i="9"/>
  <c r="A165" i="8"/>
  <c r="D164" i="8"/>
  <c r="B164" i="8"/>
  <c r="A167" i="10" l="1"/>
  <c r="D166" i="10"/>
  <c r="B166" i="10"/>
  <c r="A162" i="9"/>
  <c r="D161" i="9"/>
  <c r="B161" i="9"/>
  <c r="B165" i="8"/>
  <c r="A166" i="8"/>
  <c r="D165" i="8"/>
  <c r="A168" i="10" l="1"/>
  <c r="D167" i="10"/>
  <c r="B167" i="10"/>
  <c r="B162" i="9"/>
  <c r="A163" i="9"/>
  <c r="D162" i="9"/>
  <c r="B166" i="8"/>
  <c r="A167" i="8"/>
  <c r="D166" i="8"/>
  <c r="D168" i="10" l="1"/>
  <c r="B168" i="10"/>
  <c r="A169" i="10"/>
  <c r="D163" i="9"/>
  <c r="B163" i="9"/>
  <c r="A164" i="9"/>
  <c r="D167" i="8"/>
  <c r="B167" i="8"/>
  <c r="A168" i="8"/>
  <c r="B169" i="10" l="1"/>
  <c r="D169" i="10"/>
  <c r="A170" i="10"/>
  <c r="D164" i="9"/>
  <c r="A165" i="9"/>
  <c r="B164" i="9"/>
  <c r="D168" i="8"/>
  <c r="B168" i="8"/>
  <c r="A169" i="8"/>
  <c r="A171" i="10" l="1"/>
  <c r="B170" i="10"/>
  <c r="D170" i="10"/>
  <c r="A166" i="9"/>
  <c r="B165" i="9"/>
  <c r="D165" i="9"/>
  <c r="D169" i="8"/>
  <c r="A170" i="8"/>
  <c r="B169" i="8"/>
  <c r="B171" i="10" l="1"/>
  <c r="A172" i="10"/>
  <c r="D171" i="10"/>
  <c r="D166" i="9"/>
  <c r="B166" i="9"/>
  <c r="A167" i="9"/>
  <c r="A171" i="8"/>
  <c r="D170" i="8"/>
  <c r="B170" i="8"/>
  <c r="D172" i="10" l="1"/>
  <c r="B172" i="10"/>
  <c r="A173" i="10"/>
  <c r="B167" i="9"/>
  <c r="D167" i="9"/>
  <c r="A168" i="9"/>
  <c r="D171" i="8"/>
  <c r="B171" i="8"/>
  <c r="A172" i="8"/>
  <c r="D173" i="10" l="1"/>
  <c r="B173" i="10"/>
  <c r="A174" i="10"/>
  <c r="A169" i="9"/>
  <c r="D168" i="9"/>
  <c r="B168" i="9"/>
  <c r="D172" i="8"/>
  <c r="B172" i="8"/>
  <c r="A173" i="8"/>
  <c r="A175" i="10" l="1"/>
  <c r="B174" i="10"/>
  <c r="D174" i="10"/>
  <c r="D169" i="9"/>
  <c r="B169" i="9"/>
  <c r="A170" i="9"/>
  <c r="D173" i="8"/>
  <c r="B173" i="8"/>
  <c r="A174" i="8"/>
  <c r="B175" i="10" l="1"/>
  <c r="A176" i="10"/>
  <c r="D175" i="10"/>
  <c r="D170" i="9"/>
  <c r="B170" i="9"/>
  <c r="A171" i="9"/>
  <c r="A175" i="8"/>
  <c r="D174" i="8"/>
  <c r="B174" i="8"/>
  <c r="D176" i="10" l="1"/>
  <c r="B176" i="10"/>
  <c r="A177" i="10"/>
  <c r="D171" i="9"/>
  <c r="B171" i="9"/>
  <c r="A172" i="9"/>
  <c r="B175" i="8"/>
  <c r="A176" i="8"/>
  <c r="D175" i="8"/>
  <c r="D177" i="10" l="1"/>
  <c r="B177" i="10"/>
  <c r="A178" i="10"/>
  <c r="A173" i="9"/>
  <c r="D172" i="9"/>
  <c r="B172" i="9"/>
  <c r="D176" i="8"/>
  <c r="B176" i="8"/>
  <c r="A179" i="10" l="1"/>
  <c r="B178" i="10"/>
  <c r="D178" i="10"/>
  <c r="A174" i="9"/>
  <c r="B173" i="9"/>
  <c r="D173" i="9"/>
  <c r="B179" i="10" l="1"/>
  <c r="A180" i="10"/>
  <c r="D179" i="10"/>
  <c r="D174" i="9"/>
  <c r="B174" i="9"/>
  <c r="A175" i="9"/>
  <c r="D180" i="10" l="1"/>
  <c r="B180" i="10"/>
  <c r="A181" i="10"/>
  <c r="B175" i="9"/>
  <c r="D175" i="9"/>
  <c r="A176" i="9"/>
  <c r="D181" i="10" l="1"/>
  <c r="B181" i="10"/>
  <c r="A182" i="10"/>
  <c r="A177" i="9"/>
  <c r="D176" i="9"/>
  <c r="B176" i="9"/>
  <c r="A183" i="10" l="1"/>
  <c r="B182" i="10"/>
  <c r="D182" i="10"/>
  <c r="D177" i="9"/>
  <c r="A178" i="9"/>
  <c r="B177" i="9"/>
  <c r="B183" i="10" l="1"/>
  <c r="A184" i="10"/>
  <c r="D183" i="10"/>
  <c r="B178" i="9"/>
  <c r="A179" i="9"/>
  <c r="D178" i="9"/>
  <c r="A185" i="10" l="1"/>
  <c r="D184" i="10"/>
  <c r="B184" i="10"/>
  <c r="D179" i="9"/>
  <c r="B179" i="9"/>
  <c r="A180" i="9"/>
  <c r="A186" i="10" l="1"/>
  <c r="D185" i="10"/>
  <c r="B185" i="10"/>
  <c r="A181" i="9"/>
  <c r="D180" i="9"/>
  <c r="B180" i="9"/>
  <c r="D186" i="10" l="1"/>
  <c r="B186" i="10"/>
  <c r="A187" i="10"/>
  <c r="A182" i="9"/>
  <c r="D181" i="9"/>
  <c r="B181" i="9"/>
  <c r="D187" i="10" l="1"/>
  <c r="B187" i="10"/>
  <c r="A188" i="10"/>
  <c r="B182" i="9"/>
  <c r="A183" i="9"/>
  <c r="D182" i="9"/>
  <c r="A189" i="10" l="1"/>
  <c r="D188" i="10"/>
  <c r="B188" i="10"/>
  <c r="B183" i="9"/>
  <c r="D183" i="9"/>
  <c r="A184" i="9"/>
  <c r="A190" i="10" l="1"/>
  <c r="D189" i="10"/>
  <c r="B189" i="10"/>
  <c r="D184" i="9"/>
  <c r="B184" i="9"/>
  <c r="A185" i="9"/>
  <c r="D190" i="10" l="1"/>
  <c r="B190" i="10"/>
  <c r="A191" i="10"/>
  <c r="D185" i="9"/>
  <c r="A186" i="9"/>
  <c r="B185" i="9"/>
  <c r="D191" i="10" l="1"/>
  <c r="B191" i="10"/>
  <c r="A192" i="10"/>
  <c r="B186" i="9"/>
  <c r="A187" i="9"/>
  <c r="D186" i="9"/>
  <c r="A193" i="10" l="1"/>
  <c r="D192" i="10"/>
  <c r="B192" i="10"/>
  <c r="D187" i="9"/>
  <c r="B187" i="9"/>
  <c r="A188" i="9"/>
  <c r="A194" i="10" l="1"/>
  <c r="D193" i="10"/>
  <c r="B193" i="10"/>
  <c r="D188" i="9"/>
  <c r="B188" i="9"/>
  <c r="A189" i="9"/>
  <c r="D194" i="10" l="1"/>
  <c r="B194" i="10"/>
  <c r="A195" i="10"/>
  <c r="A190" i="9"/>
  <c r="D189" i="9"/>
  <c r="B189" i="9"/>
  <c r="D195" i="10" l="1"/>
  <c r="B195" i="10"/>
  <c r="A196" i="10"/>
  <c r="B190" i="9"/>
  <c r="A191" i="9"/>
  <c r="D190" i="9"/>
  <c r="A197" i="10" l="1"/>
  <c r="D196" i="10"/>
  <c r="B196" i="10"/>
  <c r="B191" i="9"/>
  <c r="D191" i="9"/>
  <c r="A192" i="9"/>
  <c r="A198" i="10" l="1"/>
  <c r="D197" i="10"/>
  <c r="B197" i="10"/>
  <c r="D192" i="9"/>
  <c r="B192" i="9"/>
  <c r="A193" i="9"/>
  <c r="D198" i="10" l="1"/>
  <c r="B198" i="10"/>
  <c r="A199" i="10"/>
  <c r="D193" i="9"/>
  <c r="A194" i="9"/>
  <c r="B193" i="9"/>
  <c r="D199" i="10" l="1"/>
  <c r="B199" i="10"/>
  <c r="A200" i="10"/>
  <c r="A195" i="9"/>
  <c r="D194" i="9"/>
  <c r="B194" i="9"/>
  <c r="A201" i="10" l="1"/>
  <c r="D200" i="10"/>
  <c r="B200" i="10"/>
  <c r="B195" i="9"/>
  <c r="A196" i="9"/>
  <c r="D195" i="9"/>
  <c r="D201" i="10" l="1"/>
  <c r="B201" i="10"/>
  <c r="A202" i="10"/>
  <c r="A197" i="9"/>
  <c r="D196" i="9"/>
  <c r="B196" i="9"/>
  <c r="D202" i="10" l="1"/>
  <c r="B202" i="10"/>
  <c r="A203" i="10"/>
  <c r="A198" i="9"/>
  <c r="D197" i="9"/>
  <c r="B197" i="9"/>
  <c r="D203" i="10" l="1"/>
  <c r="B203" i="10"/>
  <c r="A204" i="10"/>
  <c r="D198" i="9"/>
  <c r="B198" i="9"/>
  <c r="A199" i="9"/>
  <c r="A205" i="10" l="1"/>
  <c r="B204" i="10"/>
  <c r="D204" i="10"/>
  <c r="D199" i="9"/>
  <c r="B199" i="9"/>
  <c r="A200" i="9"/>
  <c r="B205" i="10" l="1"/>
  <c r="A206" i="10"/>
  <c r="D205" i="10"/>
  <c r="A201" i="9"/>
  <c r="D200" i="9"/>
  <c r="B200" i="9"/>
  <c r="D206" i="10" l="1"/>
  <c r="B206" i="10"/>
  <c r="A207" i="10"/>
  <c r="A202" i="9"/>
  <c r="D201" i="9"/>
  <c r="B201" i="9"/>
  <c r="D207" i="10" l="1"/>
  <c r="B207" i="10"/>
  <c r="A208" i="10"/>
  <c r="A203" i="9"/>
  <c r="B202" i="9"/>
  <c r="D202" i="9"/>
  <c r="A209" i="10" l="1"/>
  <c r="B208" i="10"/>
  <c r="D208" i="10"/>
  <c r="D203" i="9"/>
  <c r="B203" i="9"/>
  <c r="A204" i="9"/>
  <c r="B209" i="10" l="1"/>
  <c r="A210" i="10"/>
  <c r="D209" i="10"/>
  <c r="B204" i="9"/>
  <c r="D204" i="9"/>
  <c r="A205" i="9"/>
  <c r="D210" i="10" l="1"/>
  <c r="B210" i="10"/>
  <c r="A211" i="10"/>
  <c r="A206" i="9"/>
  <c r="D205" i="9"/>
  <c r="B205" i="9"/>
  <c r="D211" i="10" l="1"/>
  <c r="B211" i="10"/>
  <c r="A212" i="10"/>
  <c r="D206" i="9"/>
  <c r="B206" i="9"/>
  <c r="A207" i="9"/>
  <c r="A213" i="10" l="1"/>
  <c r="B212" i="10"/>
  <c r="D212" i="10"/>
  <c r="D207" i="9"/>
  <c r="B207" i="9"/>
  <c r="A208" i="9"/>
  <c r="B213" i="10" l="1"/>
  <c r="A214" i="10"/>
  <c r="D213" i="10"/>
  <c r="D208" i="9"/>
  <c r="B208" i="9"/>
  <c r="A209" i="9"/>
  <c r="D214" i="10" l="1"/>
  <c r="B214" i="10"/>
  <c r="A215" i="10"/>
  <c r="A210" i="9"/>
  <c r="D209" i="9"/>
  <c r="B209" i="9"/>
  <c r="D215" i="10" l="1"/>
  <c r="B215" i="10"/>
  <c r="A216" i="10"/>
  <c r="A211" i="9"/>
  <c r="B210" i="9"/>
  <c r="D210" i="9"/>
  <c r="A217" i="10" l="1"/>
  <c r="B216" i="10"/>
  <c r="D216" i="10"/>
  <c r="D211" i="9"/>
  <c r="B211" i="9"/>
  <c r="A212" i="9"/>
  <c r="D217" i="10" l="1"/>
  <c r="B217" i="10"/>
  <c r="A218" i="10"/>
  <c r="B212" i="9"/>
  <c r="D212" i="9"/>
  <c r="A213" i="9"/>
  <c r="A219" i="10" l="1"/>
  <c r="D218" i="10"/>
  <c r="B218" i="10"/>
  <c r="A214" i="9"/>
  <c r="D213" i="9"/>
  <c r="B213" i="9"/>
  <c r="A220" i="10" l="1"/>
  <c r="D219" i="10"/>
  <c r="B219" i="10"/>
  <c r="D214" i="9"/>
  <c r="A215" i="9"/>
  <c r="B214" i="9"/>
  <c r="D220" i="10" l="1"/>
  <c r="B220" i="10"/>
  <c r="A221" i="10"/>
  <c r="B215" i="9"/>
  <c r="A216" i="9"/>
  <c r="D215" i="9"/>
  <c r="D221" i="10" l="1"/>
  <c r="B221" i="10"/>
  <c r="A222" i="10"/>
  <c r="D216" i="9"/>
  <c r="B216" i="9"/>
  <c r="A217" i="9"/>
  <c r="A223" i="10" l="1"/>
  <c r="D222" i="10"/>
  <c r="B222" i="10"/>
  <c r="A218" i="9"/>
  <c r="D217" i="9"/>
  <c r="B217" i="9"/>
  <c r="A224" i="10" l="1"/>
  <c r="D223" i="10"/>
  <c r="B223" i="10"/>
  <c r="A219" i="9"/>
  <c r="D218" i="9"/>
  <c r="B218" i="9"/>
  <c r="D224" i="10" l="1"/>
  <c r="B224" i="10"/>
  <c r="B219" i="9"/>
  <c r="A220" i="9"/>
  <c r="D219" i="9"/>
  <c r="B220" i="9" l="1"/>
  <c r="D220" i="9"/>
  <c r="A221" i="9"/>
  <c r="D221" i="9" l="1"/>
  <c r="B221" i="9"/>
  <c r="A222" i="9"/>
  <c r="D222" i="9" l="1"/>
  <c r="A223" i="9"/>
  <c r="B222" i="9"/>
  <c r="B223" i="9" l="1"/>
  <c r="A224" i="9"/>
  <c r="D223" i="9"/>
  <c r="D224" i="9" l="1"/>
  <c r="B224" i="9"/>
  <c r="A225" i="9"/>
  <c r="D225" i="9" l="1"/>
  <c r="B225" i="9"/>
  <c r="A226" i="9"/>
  <c r="A227" i="9" l="1"/>
  <c r="D226" i="9"/>
  <c r="B226" i="9"/>
  <c r="B227" i="9" l="1"/>
  <c r="A228" i="9"/>
  <c r="D227" i="9"/>
  <c r="B228" i="9" l="1"/>
  <c r="D228" i="9"/>
  <c r="A229" i="9"/>
  <c r="A230" i="9" l="1"/>
  <c r="D229" i="9"/>
  <c r="B229" i="9"/>
  <c r="B230" i="9" l="1"/>
  <c r="A231" i="9"/>
  <c r="D230" i="9"/>
  <c r="A232" i="9" l="1"/>
  <c r="D231" i="9"/>
  <c r="B231" i="9"/>
  <c r="D232" i="9" l="1"/>
  <c r="B232" i="9"/>
  <c r="A233" i="9"/>
  <c r="B233" i="9" l="1"/>
  <c r="A234" i="9"/>
  <c r="D233" i="9"/>
  <c r="A235" i="9" l="1"/>
  <c r="D234" i="9"/>
  <c r="B234" i="9"/>
  <c r="D235" i="9" l="1"/>
  <c r="B235" i="9"/>
  <c r="A236" i="9"/>
  <c r="D236" i="9" l="1"/>
  <c r="B236" i="9"/>
  <c r="A237" i="9"/>
  <c r="A238" i="9" l="1"/>
  <c r="D237" i="9"/>
  <c r="B237" i="9"/>
  <c r="A239" i="9" l="1"/>
  <c r="D238" i="9"/>
  <c r="B238" i="9"/>
  <c r="A240" i="9" l="1"/>
  <c r="B239" i="9"/>
  <c r="D239" i="9"/>
  <c r="B240" i="9" l="1"/>
  <c r="D240" i="9"/>
  <c r="A241" i="9"/>
  <c r="B241" i="9" l="1"/>
  <c r="A242" i="9"/>
  <c r="D241" i="9"/>
  <c r="D242" i="9" l="1"/>
  <c r="B242" i="9"/>
  <c r="A243" i="9"/>
  <c r="D243" i="9" l="1"/>
  <c r="B243" i="9"/>
  <c r="A244" i="9"/>
  <c r="A245" i="9" l="1"/>
  <c r="D244" i="9"/>
  <c r="B244" i="9"/>
  <c r="B245" i="9" l="1"/>
  <c r="A246" i="9"/>
  <c r="D245" i="9"/>
  <c r="A247" i="9" l="1"/>
  <c r="D246" i="9"/>
  <c r="B246" i="9"/>
  <c r="A248" i="9" l="1"/>
  <c r="D247" i="9"/>
  <c r="B247" i="9"/>
  <c r="B248" i="9" l="1"/>
  <c r="D248" i="9"/>
  <c r="A249" i="9"/>
  <c r="B249" i="9" l="1"/>
  <c r="D249" i="9"/>
  <c r="A250" i="9"/>
  <c r="D250" i="9" l="1"/>
  <c r="A251" i="9"/>
  <c r="B250" i="9"/>
  <c r="D251" i="9" l="1"/>
  <c r="B251" i="9"/>
  <c r="A252" i="9"/>
  <c r="A253" i="9" l="1"/>
  <c r="D252" i="9"/>
  <c r="B252" i="9"/>
  <c r="A254" i="9" l="1"/>
  <c r="D253" i="9"/>
  <c r="B253" i="9"/>
  <c r="A255" i="9" l="1"/>
  <c r="D254" i="9"/>
  <c r="B254" i="9"/>
  <c r="A256" i="9" l="1"/>
  <c r="D255" i="9"/>
  <c r="B255" i="9"/>
  <c r="B256" i="9" l="1"/>
  <c r="A257" i="9"/>
  <c r="D256" i="9"/>
  <c r="B257" i="9" l="1"/>
  <c r="D257" i="9"/>
  <c r="A258" i="9"/>
  <c r="D258" i="9" l="1"/>
  <c r="A259" i="9"/>
  <c r="B258" i="9"/>
  <c r="D259" i="9" l="1"/>
  <c r="A260" i="9"/>
  <c r="B259" i="9"/>
  <c r="D260" i="9" l="1"/>
  <c r="B26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Bjarte Sørhus</author>
  </authors>
  <commentList>
    <comment ref="B3" authorId="0" shapeId="0" xr:uid="{E0B6D076-5BDA-4229-B63C-C4A33857BA91}">
      <text>
        <r>
          <rPr>
            <sz val="11"/>
            <color theme="1"/>
            <rFont val="Calibri"/>
            <family val="2"/>
            <scheme val="minor"/>
          </rPr>
          <t xml:space="preserve">23.9.2015
Område tildeles til punkt-til-punkt/multipunkt radiolinje TDD som trenger beskyttelse ("ekslusiv bruk", ingen sendetidsbegrensninger) Analyse utføres som ved FDD 400 MHz radiolinje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Kvaksrud, Tor-Inge</author>
  </authors>
  <commentList>
    <comment ref="R93" authorId="0" shapeId="0" xr:uid="{2F21B7BD-93A1-444F-A624-514B5256296E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F95" authorId="0" shapeId="0" xr:uid="{26E652C5-5265-430B-8723-F552377D1E95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96" authorId="0" shapeId="0" xr:uid="{C6140187-7D63-4792-9204-1773C56C55F1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J97" authorId="0" shapeId="0" xr:uid="{D8F1B1DB-BC47-4E91-AFAD-5D037960DC14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98" authorId="0" shapeId="0" xr:uid="{4DEFBA1D-EC72-48F7-900F-760A525EC828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F99" authorId="0" shapeId="0" xr:uid="{8450551B-D670-42BB-8868-564AFDCAD107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0" authorId="0" shapeId="0" xr:uid="{3A82FF83-7694-4491-B80D-5A0179BFCFBA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N101" authorId="0" shapeId="0" xr:uid="{97D328A5-8D95-4D0D-B6D3-E1665DA99CC8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2" authorId="0" shapeId="0" xr:uid="{EF0734DF-0E38-4D46-8A6A-ACD5850C3E9C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F103" authorId="0" shapeId="0" xr:uid="{FE895EAC-AF99-4FA0-92AA-6F2624132B4B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4" authorId="0" shapeId="0" xr:uid="{C7D9AC88-BBA9-4BA5-BA7B-8F52AED9A7B6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J105" authorId="0" shapeId="0" xr:uid="{6CEECBFE-6BA2-45D6-B275-C6A33BD91E78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6" authorId="0" shapeId="0" xr:uid="{134466CA-804B-445F-8FE5-CF334EE348E8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F107" authorId="0" shapeId="0" xr:uid="{4370428B-CC15-43A7-A8CB-864E3FE4B13E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  <comment ref="B108" authorId="0" shapeId="0" xr:uid="{FCF7DCD0-1F27-46C5-B9BF-C885E3E97E1A}">
      <text>
        <r>
          <rPr>
            <b/>
            <sz val="9"/>
            <color indexed="81"/>
            <rFont val="Tahoma"/>
            <family val="2"/>
          </rPr>
          <t>Kvaksrud, Tor-Inge:</t>
        </r>
        <r>
          <rPr>
            <sz val="9"/>
            <color indexed="81"/>
            <rFont val="Tahoma"/>
            <family val="2"/>
          </rPr>
          <t xml:space="preserve">
ekstra kanal sml med CEPT/ERC/REC 12-05 E</t>
        </r>
      </text>
    </comment>
  </commentList>
</comments>
</file>

<file path=xl/sharedStrings.xml><?xml version="1.0" encoding="utf-8"?>
<sst xmlns="http://schemas.openxmlformats.org/spreadsheetml/2006/main" count="3033" uniqueCount="543">
  <si>
    <t>Referanser for radiolinje</t>
  </si>
  <si>
    <t>Kanalplan</t>
  </si>
  <si>
    <t>Typisk hopplengde</t>
  </si>
  <si>
    <t>BW</t>
  </si>
  <si>
    <t>antall</t>
  </si>
  <si>
    <t>min</t>
  </si>
  <si>
    <t>maks</t>
  </si>
  <si>
    <t>kanaler</t>
  </si>
  <si>
    <t>FrekvensBånd</t>
  </si>
  <si>
    <t>[km]</t>
  </si>
  <si>
    <t>[MHz]</t>
  </si>
  <si>
    <t>sendertill.</t>
  </si>
  <si>
    <t>Lav 6 GHz</t>
  </si>
  <si>
    <t>L6G</t>
  </si>
  <si>
    <t>CEPT/ERC/REC 14-01</t>
  </si>
  <si>
    <t>Høy 6 GHz</t>
  </si>
  <si>
    <t>H6G</t>
  </si>
  <si>
    <t>ERC/REC 14-02 E</t>
  </si>
  <si>
    <t>L7G/U7G</t>
  </si>
  <si>
    <t>U7G</t>
  </si>
  <si>
    <t>modifisert, ITU-R F,385-6</t>
  </si>
  <si>
    <t>8 GHz</t>
  </si>
  <si>
    <t>8G</t>
  </si>
  <si>
    <t>ECC REC 02-06 Annex2</t>
  </si>
  <si>
    <t>ECC REC 02-06 Annex3</t>
  </si>
  <si>
    <t>Høy 10 GHz</t>
  </si>
  <si>
    <t>H10G</t>
  </si>
  <si>
    <t>CEPT/ERC/REC 12-05 E</t>
  </si>
  <si>
    <t>13 GHz</t>
  </si>
  <si>
    <t>13G</t>
  </si>
  <si>
    <t>CEPT / ERC Rec 12-02</t>
  </si>
  <si>
    <t>18 GHz</t>
  </si>
  <si>
    <t>18G</t>
  </si>
  <si>
    <t>CEPT/ERC Rec 12-03E</t>
  </si>
  <si>
    <t>23 GHz</t>
  </si>
  <si>
    <t>23G</t>
  </si>
  <si>
    <t>T/R rec 13-02E Annex A</t>
  </si>
  <si>
    <t>28 GHz</t>
  </si>
  <si>
    <t>28G</t>
  </si>
  <si>
    <t>T/R rec 13-02E</t>
  </si>
  <si>
    <t>32 GHz</t>
  </si>
  <si>
    <t>32G</t>
  </si>
  <si>
    <t>ERC REC (01) 02  Annex A</t>
  </si>
  <si>
    <t>38 GHz</t>
  </si>
  <si>
    <t>38G</t>
  </si>
  <si>
    <t>T/R rec 12-01 Annex A</t>
  </si>
  <si>
    <t>71-76 / 81-86 GHz</t>
  </si>
  <si>
    <t>70/80G</t>
  </si>
  <si>
    <t>Revised ECC/REC/(05)07</t>
  </si>
  <si>
    <t>Prioritert til Kommunale vann- og avløpsnett</t>
  </si>
  <si>
    <t>Oversikt</t>
  </si>
  <si>
    <t>VHF</t>
  </si>
  <si>
    <t>141.825</t>
  </si>
  <si>
    <t>142.375</t>
  </si>
  <si>
    <t>UHF</t>
  </si>
  <si>
    <t>444.050</t>
  </si>
  <si>
    <t>Tillates også for YOT TDD.</t>
  </si>
  <si>
    <t>Prioritert til produksjonsanlegg for energiforsyning:</t>
  </si>
  <si>
    <t>Andre brukere:</t>
  </si>
  <si>
    <t>Detaljer - 438,0 - 442,5 // 445,0-447,5 MHz</t>
  </si>
  <si>
    <t>Grensefrekvens
nedre</t>
  </si>
  <si>
    <t>Kanalnummer
innen blokk</t>
  </si>
  <si>
    <t>Lav-frekvens
senter</t>
  </si>
  <si>
    <t>Kanalbredde</t>
  </si>
  <si>
    <t>Høy-frekvens
senter</t>
  </si>
  <si>
    <t>Grensefrekvens
øvre</t>
  </si>
  <si>
    <t>200 kHz</t>
  </si>
  <si>
    <t>50 kHz</t>
  </si>
  <si>
    <t>50 kHz TDD</t>
  </si>
  <si>
    <t>150 kHz TDD</t>
  </si>
  <si>
    <t>Tetra DMO</t>
  </si>
  <si>
    <t>550 kHz</t>
  </si>
  <si>
    <t xml:space="preserve">3 stk. 50 kHz
</t>
  </si>
  <si>
    <t xml:space="preserve">2 stk. 150 kHz (ISDN)**     </t>
  </si>
  <si>
    <t xml:space="preserve">150 kHz </t>
  </si>
  <si>
    <t>1 stk. 50 kHz</t>
  </si>
  <si>
    <t>PMR-bånd - 438,850 - 439,000 // 445,85 - 446,000 MHz</t>
  </si>
  <si>
    <t>** Det mest brukte utstyret for ISDN-radio kan kun tunes i 50kHz inkrementer. INTRACOM Fquad 450 - se tffelles</t>
  </si>
  <si>
    <t xml:space="preserve">** Ved blanding av digitalt og analogt utstyr på samme stasjonspunkt, bør ikke nabokanal brukes </t>
  </si>
  <si>
    <t>Se neste ark for videre plan i båndet.</t>
  </si>
  <si>
    <t>Kommentarer</t>
  </si>
  <si>
    <t>439 MHz</t>
  </si>
  <si>
    <t>446 MHz</t>
  </si>
  <si>
    <t>25 kHz TDD</t>
  </si>
  <si>
    <t>PMR fribruk</t>
  </si>
  <si>
    <t>Analog PMR (446,000-446,075 MHz): ERC (ECC) Decision: ERC/DEC(98)25
RL SIMPLEX (439,000-439,075 MHz): Brukes til en-frekvens-systemer (f.eks: http://www.racom.cz/index.php?page=eng/www/products/mr%20400%20new.html)</t>
  </si>
  <si>
    <t>500 kHz</t>
  </si>
  <si>
    <r>
      <t xml:space="preserve">Digital PMR (446,125-446,200 MHz): ECC Decision: ECC/DEC/(05)12
Norge tar i bruk disse frekvensene til </t>
    </r>
    <r>
      <rPr>
        <u/>
        <sz val="8"/>
        <rFont val="Arial"/>
        <family val="2"/>
      </rPr>
      <t>Digital PMR fra 2010</t>
    </r>
    <r>
      <rPr>
        <sz val="8"/>
        <rFont val="Arial"/>
        <family val="2"/>
      </rPr>
      <t xml:space="preserve">. Ingen nye RL duplex tillatelser utstedes/fornyes her.
RL SIMPLEX (439,125-439,200 MHz)
</t>
    </r>
  </si>
  <si>
    <t>25 kHz FDD</t>
  </si>
  <si>
    <t>Diverse PMR-bånd - 439,600 - 440 (LAVEFFEKT fra 440-442) // 446,6 - 447 MHz</t>
  </si>
  <si>
    <t>Grensefrekvens
Nedre</t>
  </si>
  <si>
    <t>Kanalnr. 
25 kHz</t>
  </si>
  <si>
    <t>Lav-frekvens
senter 25 kHz</t>
  </si>
  <si>
    <t>Lav-frekvens
senter 12,5 kHz</t>
  </si>
  <si>
    <t>Høy-frekvens
senter 12,5 kHz</t>
  </si>
  <si>
    <t>Høy-frekvens
senter 25 kHz</t>
  </si>
  <si>
    <t>Grensefrekvens
Øvre</t>
  </si>
  <si>
    <t>25 kHz</t>
  </si>
  <si>
    <t>12,5 kHz</t>
  </si>
  <si>
    <t>Dupleks 5 MHz</t>
  </si>
  <si>
    <t xml:space="preserve">NB: Her er dupleks-avstanden 5 MHz i forhold til 7MHz for de foregående blokkene!   </t>
  </si>
  <si>
    <t>Kanaltabell for båndet 5925-6425</t>
  </si>
  <si>
    <t>Kanal Nr.</t>
  </si>
  <si>
    <t>29,65 MHz raster</t>
  </si>
  <si>
    <t>59,3 MHz raster</t>
  </si>
  <si>
    <t>Merknader</t>
  </si>
  <si>
    <t>/</t>
  </si>
  <si>
    <t>6425 - 7125MHz</t>
  </si>
  <si>
    <t>Nr.</t>
  </si>
  <si>
    <t>3,5 MHz raster</t>
  </si>
  <si>
    <t>7 MHz raster</t>
  </si>
  <si>
    <t>14 MHz raster</t>
  </si>
  <si>
    <t>20 MHz raster</t>
  </si>
  <si>
    <t>30 MHz raster</t>
  </si>
  <si>
    <t>40 MHz raster</t>
  </si>
  <si>
    <t>60 MHz raster</t>
  </si>
  <si>
    <t>80 MHz raster</t>
  </si>
  <si>
    <t>60 MHz kanaler og</t>
  </si>
  <si>
    <t>80 MHz kanaler</t>
  </si>
  <si>
    <t>overlapper halvparten av</t>
  </si>
  <si>
    <t>nabokanal.</t>
  </si>
  <si>
    <t>Partall kanaler ligger ved</t>
  </si>
  <si>
    <t>siden av hverandre.</t>
  </si>
  <si>
    <t>Oddetall kanaler ligger ved</t>
  </si>
  <si>
    <t>Kanalplan for 7125 -7425 MHz ("L7G") - modifisert, ITU-R F.385-6</t>
  </si>
  <si>
    <t>7 MHz Raster</t>
  </si>
  <si>
    <t>28 MHz Raster (mod.)</t>
  </si>
  <si>
    <t xml:space="preserve"> </t>
  </si>
  <si>
    <t>Dupleks = 161 MHz</t>
  </si>
  <si>
    <t>Viktig: ved bruk av både "L7G" og "U7G" på samme lokasjon skal sendere i "L7G" og "U7G" ha motsatt paritet (høy/lav konfigurasjon).</t>
  </si>
  <si>
    <t>Kanal 5 (7240/7401) brukes bare unntaksvis p.g.a. overlapp med "U7G".</t>
  </si>
  <si>
    <t>I Norge brukes både 7 Mhz og 28 MHz kanalplan med 161 MHz dupleksavstand.</t>
  </si>
  <si>
    <t>7 MHz kanalene følger ITU REC 385-6.</t>
  </si>
  <si>
    <t>28 MHz kanalene (mod.) følger ingen rekommendasjon.</t>
  </si>
  <si>
    <t>Kanalplan for 7425 -7725 MHz ("U7G") - modifisert, ITU-R F.385-6</t>
  </si>
  <si>
    <t>8GHz (ECC REC 02-06 Annex2)</t>
  </si>
  <si>
    <t>8GHz 56MHz (ECC REC 02-06 Annex3)</t>
  </si>
  <si>
    <t>7 MHz</t>
  </si>
  <si>
    <t>14 MHz</t>
  </si>
  <si>
    <t>28 MHz</t>
  </si>
  <si>
    <t>56 MHz</t>
  </si>
  <si>
    <t>Kommentar</t>
  </si>
  <si>
    <t>Kanalplan 56 MHz i henhold</t>
  </si>
  <si>
    <t>til Annex 3 der kanaler</t>
  </si>
  <si>
    <t>overlapper halvveis nabokanal</t>
  </si>
  <si>
    <t>The radio frequency channel arrangements for the 10 to 10.150 GHz band are based on …</t>
  </si>
  <si>
    <r>
      <t>f</t>
    </r>
    <r>
      <rPr>
        <vertAlign val="subscript"/>
        <sz val="11"/>
        <color theme="1"/>
        <rFont val="Calibri"/>
        <family val="2"/>
        <scheme val="minor"/>
      </rPr>
      <t>p</t>
    </r>
  </si>
  <si>
    <t>The lower edge frequency (MHz) of each slot</t>
  </si>
  <si>
    <r>
      <t>f</t>
    </r>
    <r>
      <rPr>
        <vertAlign val="subscript"/>
        <sz val="11"/>
        <color theme="1"/>
        <rFont val="Calibri"/>
        <family val="2"/>
        <scheme val="minor"/>
      </rPr>
      <t>0</t>
    </r>
  </si>
  <si>
    <t>the reference frequency of the pattern =  MHz</t>
  </si>
  <si>
    <r>
      <t>f</t>
    </r>
    <r>
      <rPr>
        <vertAlign val="subscript"/>
        <sz val="11"/>
        <color theme="1"/>
        <rFont val="Calibri"/>
        <family val="2"/>
        <scheme val="minor"/>
      </rPr>
      <t>n</t>
    </r>
  </si>
  <si>
    <t>the centre frequency (MHz) of a radio frequency channel in the lower half of the band</t>
  </si>
  <si>
    <r>
      <t>f</t>
    </r>
    <r>
      <rPr>
        <vertAlign val="superscript"/>
        <sz val="11"/>
        <color theme="1"/>
        <rFont val="Calibri"/>
        <family val="2"/>
        <scheme val="minor"/>
      </rPr>
      <t>'</t>
    </r>
    <r>
      <rPr>
        <vertAlign val="subscript"/>
        <sz val="11"/>
        <color theme="1"/>
        <rFont val="Calibri"/>
        <family val="2"/>
        <scheme val="minor"/>
      </rPr>
      <t>n</t>
    </r>
  </si>
  <si>
    <t>the centre frequency (MHz) of a radio frequency channel in the upper half of the band</t>
  </si>
  <si>
    <t>tillatelse</t>
  </si>
  <si>
    <t>Innehaver</t>
  </si>
  <si>
    <t>Spektrumstillatelse</t>
  </si>
  <si>
    <t>Referanse CEPT/ERC/REC 12-05 E</t>
  </si>
  <si>
    <t>The radio frequency channel arrangements for the 10 to 10.68 GHz band are based on channel slots of 0.5 MHz and are derived as follows:</t>
  </si>
  <si>
    <r>
      <t>p</t>
    </r>
    <r>
      <rPr>
        <sz val="11"/>
        <color theme="1"/>
        <rFont val="Calibri"/>
        <family val="2"/>
      </rPr>
      <t>ϵ[0-1359]</t>
    </r>
  </si>
  <si>
    <t>MHz</t>
  </si>
  <si>
    <t>the reference frequency of the pattern = 11701 MHz</t>
  </si>
  <si>
    <t>3,5 MHz</t>
  </si>
  <si>
    <t xml:space="preserve">Nkom utsteder kun tillatelser med 28 MHz kanalbredde. </t>
  </si>
  <si>
    <t>Dersom kunde ønsker å kombinere 28 MHz i sendertillatelse med spektrum i egen spektrumtillatelse er det ok</t>
  </si>
  <si>
    <t xml:space="preserve">Nkom kan likevel ikke simulere dette. </t>
  </si>
  <si>
    <t>Sendertillatelser Nkom</t>
  </si>
  <si>
    <t>Kanaltabell for båndet 12.75 - 13.25 GHz  CEPT / ERC Rec 12-02</t>
  </si>
  <si>
    <t>1,75 MHz</t>
  </si>
  <si>
    <t>12751- 12793/13017-13059 MHz</t>
  </si>
  <si>
    <t>12793-12800/13059-13066 MHz</t>
  </si>
  <si>
    <t>Nkom sendertillatelser</t>
  </si>
  <si>
    <t>12891-12975/13157- 13241 MHz</t>
  </si>
  <si>
    <t>Kanalplan for båndet 17,7 - 19,7 GHz  Cept/Erc rec 12-03E</t>
  </si>
  <si>
    <t>ATR 16.6.2021</t>
  </si>
  <si>
    <t>13,75 MHz raster</t>
  </si>
  <si>
    <t>27,5 MHz raster</t>
  </si>
  <si>
    <t>55 MHz raster</t>
  </si>
  <si>
    <t>110 MHz raster</t>
  </si>
  <si>
    <t>220 MHz raster</t>
  </si>
  <si>
    <t>Spektrum</t>
  </si>
  <si>
    <t>17706.87-18112.5 MHz</t>
  </si>
  <si>
    <t>og 18716.87-19122.5 MHz</t>
  </si>
  <si>
    <t>Spektrum 18648,75 MHz-18676,25 MHz/19658,75 MHz-19686,25 MHz</t>
  </si>
  <si>
    <t>Kanaltabell for båndet 22,0 - 23,6 GHz   i følge T/R rec 13-02E Annex A</t>
  </si>
  <si>
    <t>28 MHz raster</t>
  </si>
  <si>
    <t>56 MHz raster</t>
  </si>
  <si>
    <t>112 MHz raster</t>
  </si>
  <si>
    <t>Guard band</t>
  </si>
  <si>
    <t>Grense mellom " blokker"</t>
  </si>
  <si>
    <t>Spektrumtillatelse</t>
  </si>
  <si>
    <t>.</t>
  </si>
  <si>
    <t>Sendertillatelser</t>
  </si>
  <si>
    <t>interleaved with an offset of 1,75 MHz</t>
  </si>
  <si>
    <t xml:space="preserve">Skillefrekvens mellom </t>
  </si>
  <si>
    <t>56 MHz blokkker</t>
  </si>
  <si>
    <t>27500 - 27828,5/</t>
  </si>
  <si>
    <t xml:space="preserve">28444,5 - 28836,5 </t>
  </si>
  <si>
    <t>brukes av FSS exclusive</t>
  </si>
  <si>
    <t>Se ERC/DEC/(05)01</t>
  </si>
  <si>
    <t>FSS=Fixed Satelite Service</t>
  </si>
  <si>
    <t>27828,5-27940,5 MHz er</t>
  </si>
  <si>
    <t>IKKE PARET FS Unprotected</t>
  </si>
  <si>
    <t>28836,5-28948,5 MHz er</t>
  </si>
  <si>
    <t>ukoordinerte FSS jordstasjoner</t>
  </si>
  <si>
    <t>Se ECC DEC(05)01</t>
  </si>
  <si>
    <t>Nkom kan tildele uparet</t>
  </si>
  <si>
    <t>27940,5 - 28052,5/</t>
  </si>
  <si>
    <t>28948,5 - 29060,5 MHz</t>
  </si>
  <si>
    <t>56MHz blokk-skille</t>
  </si>
  <si>
    <t>28052,5 - 28444,5/</t>
  </si>
  <si>
    <t>29060,5 - 29452,5 MHz</t>
  </si>
  <si>
    <t>Fixed Service exclusive</t>
  </si>
  <si>
    <t>Brukes av Nkom til enkelttillatelser</t>
  </si>
  <si>
    <t>28444,5 - 28555 (- 28836,5) benyttes av FSS</t>
  </si>
  <si>
    <t>Kanaltabell for båndet 32 GHz  i følge ERC REC (01) 02  Annex A. Denne er gjeldende, se praksisdok.</t>
  </si>
  <si>
    <t>Guard Band:  I begynnelsen av båndet: 71 MHz for båndbredde 56 MHz og 15 MHz for mindre båndbredder. I senter: 140 MHz for 56 MHz båndbredde ellers 56 MHz sentergap,</t>
  </si>
  <si>
    <t xml:space="preserve"> i slutten av båndet: 45 MHz for båndbredde 56 MHz og 17 MHz for mindre båndbredder .Skillelinjene angis 56 MHz blokker</t>
  </si>
  <si>
    <t>Dupleksavstand 812 MHz</t>
  </si>
  <si>
    <t>Adm. av NKOM til enkelttillatelser</t>
  </si>
  <si>
    <t>37058-37170 MHz/38318-38430 MHz</t>
  </si>
  <si>
    <t>Kanaltabell for båndet 37 - 39,5 GHz   i følge T/R rec 12-01 Annex A. Denne er gjeldende, se praksisdok.</t>
  </si>
  <si>
    <t>Guard Band:  I begynnelsen av båndet: 58 MHz.  I senter: 140 MHz, i slutten av båndet: 62 MHz</t>
  </si>
  <si>
    <t>Skillelinjene angis 56 MHz blokker</t>
  </si>
  <si>
    <t>3,5 M Hz har hittil ikke vært brukt</t>
  </si>
  <si>
    <t>224 MHz raster</t>
  </si>
  <si>
    <t>224 MHz etter Annex 2</t>
  </si>
  <si>
    <t>oddetall kanaler tilstøtende</t>
  </si>
  <si>
    <t>Partall kanaler tilstøtende</t>
  </si>
  <si>
    <t>Kanaler i rekkefølge overlapper</t>
  </si>
  <si>
    <t>OBS! Tildeles ikke inntil videre</t>
  </si>
  <si>
    <t xml:space="preserve">Sendertillatelser Nkom </t>
  </si>
  <si>
    <t>Kanal 5 224 MHz kan brukes</t>
  </si>
  <si>
    <t>Kanaltabell for båndet 71 - 76 / 81 - 86 GHz</t>
  </si>
  <si>
    <t>Annex 4.1</t>
  </si>
  <si>
    <t>62.5 MHz Raster</t>
  </si>
  <si>
    <t>125 MHz Raster</t>
  </si>
  <si>
    <t>250 MHz Raster</t>
  </si>
  <si>
    <t>500 MHz Raster</t>
  </si>
  <si>
    <t>750 MHz Raster</t>
  </si>
  <si>
    <t>1 GHz Raster</t>
  </si>
  <si>
    <t>1.25 GHz Raster</t>
  </si>
  <si>
    <t>1.5 GHz Raster</t>
  </si>
  <si>
    <t>1.75 GHz Raster</t>
  </si>
  <si>
    <t>2 GHz Raster</t>
  </si>
  <si>
    <t>2.25 GHz Raster</t>
  </si>
  <si>
    <t>71.15625 GHz</t>
  </si>
  <si>
    <t>81.15625 GHz</t>
  </si>
  <si>
    <t>71.1875 GHz</t>
  </si>
  <si>
    <t>81.1875 GHz</t>
  </si>
  <si>
    <t>71.21875 GHz</t>
  </si>
  <si>
    <t>81.21875 GHz</t>
  </si>
  <si>
    <t>71.25 GHz</t>
  </si>
  <si>
    <t>81.25 GHz</t>
  </si>
  <si>
    <t>71.28125 GHz</t>
  </si>
  <si>
    <t>81.28125 GHz</t>
  </si>
  <si>
    <t>71.3125 GHz</t>
  </si>
  <si>
    <t>81.3125 GHz</t>
  </si>
  <si>
    <t>71.34375 GHz</t>
  </si>
  <si>
    <t>81.34375 GHz</t>
  </si>
  <si>
    <t>71.375 GHz</t>
  </si>
  <si>
    <t>81.375 GHz</t>
  </si>
  <si>
    <t>71.40625 GHz</t>
  </si>
  <si>
    <t>81.40625 GHz</t>
  </si>
  <si>
    <t>71.4375 GHz</t>
  </si>
  <si>
    <t>81.4375 GHz</t>
  </si>
  <si>
    <t>71.46875 GHz</t>
  </si>
  <si>
    <t>81.46875 GHz</t>
  </si>
  <si>
    <t>71.5 GHz</t>
  </si>
  <si>
    <t>81.5 GHz</t>
  </si>
  <si>
    <t>71.53125 GHz</t>
  </si>
  <si>
    <t>81.53125 GHz</t>
  </si>
  <si>
    <t>71.5625 GHz</t>
  </si>
  <si>
    <t>81.5625 GHz</t>
  </si>
  <si>
    <t>71.59375 GHz</t>
  </si>
  <si>
    <t>81.59375 GHz</t>
  </si>
  <si>
    <t>71.625 GHz</t>
  </si>
  <si>
    <t>81.625 GHz</t>
  </si>
  <si>
    <t>71.65625 GHz</t>
  </si>
  <si>
    <t>81.65625 GHz</t>
  </si>
  <si>
    <t>71.6875 GHz</t>
  </si>
  <si>
    <t>81.6875 GHz</t>
  </si>
  <si>
    <t>71.71875 GHz</t>
  </si>
  <si>
    <t>81.71875 GHz</t>
  </si>
  <si>
    <t>71.75 GHz</t>
  </si>
  <si>
    <t>81.75 GHz</t>
  </si>
  <si>
    <t>71.78125 GHz</t>
  </si>
  <si>
    <t>81.78125 GHz</t>
  </si>
  <si>
    <t>71.8125 GHz</t>
  </si>
  <si>
    <t>81.8125 GHz</t>
  </si>
  <si>
    <t>71.84375 GHz</t>
  </si>
  <si>
    <t>81.84375 GHz</t>
  </si>
  <si>
    <t>71.875 GHz</t>
  </si>
  <si>
    <t>81.875 GHz</t>
  </si>
  <si>
    <t>71.90625 GHz</t>
  </si>
  <si>
    <t>81.90625 GHz</t>
  </si>
  <si>
    <t>71.9375 GHz</t>
  </si>
  <si>
    <t>81.9375 GHz</t>
  </si>
  <si>
    <t>71.96875 GHz</t>
  </si>
  <si>
    <t>81.96875 GHz</t>
  </si>
  <si>
    <t>72 GHz</t>
  </si>
  <si>
    <t>82 GHz</t>
  </si>
  <si>
    <t>72.03125 GHz</t>
  </si>
  <si>
    <t>82.03125 GHz</t>
  </si>
  <si>
    <t>72.0625 GHz</t>
  </si>
  <si>
    <t>82.0625 GHz</t>
  </si>
  <si>
    <t>72.09375 GHz</t>
  </si>
  <si>
    <t>82.09375 GHz</t>
  </si>
  <si>
    <t>72.125 GHz</t>
  </si>
  <si>
    <t>82.125 GHz</t>
  </si>
  <si>
    <t>72.15625 GHz</t>
  </si>
  <si>
    <t>82.15625 GHz</t>
  </si>
  <si>
    <t>72.1875 GHz</t>
  </si>
  <si>
    <t>82.1875 GHz</t>
  </si>
  <si>
    <t>72.21875 GHz</t>
  </si>
  <si>
    <t>82.21875 GHz</t>
  </si>
  <si>
    <t>72.25 GHz</t>
  </si>
  <si>
    <t>82.25 GHz</t>
  </si>
  <si>
    <t>72.28125 GHz</t>
  </si>
  <si>
    <t>82.28125 GHz</t>
  </si>
  <si>
    <t>72.3125 GHz</t>
  </si>
  <si>
    <t>82.3125 GHz</t>
  </si>
  <si>
    <t>72.34375 GHz</t>
  </si>
  <si>
    <t>82.34375 GHz</t>
  </si>
  <si>
    <t>72.375 GHz</t>
  </si>
  <si>
    <t>82.375 GHz</t>
  </si>
  <si>
    <t>72.40625 GHz</t>
  </si>
  <si>
    <t>82.40625 GHz</t>
  </si>
  <si>
    <t>72.4375 GHz</t>
  </si>
  <si>
    <t>82.4375 GHz</t>
  </si>
  <si>
    <t>72.46875 GHz</t>
  </si>
  <si>
    <t>82.46875 GHz</t>
  </si>
  <si>
    <t>72.5 GHz</t>
  </si>
  <si>
    <t>82.5 GHz</t>
  </si>
  <si>
    <t>72.53125 GHz</t>
  </si>
  <si>
    <t>82.53125 GHz</t>
  </si>
  <si>
    <t>72.5625 GHz</t>
  </si>
  <si>
    <t>82.5625 GHz</t>
  </si>
  <si>
    <t>72.59375 GHz</t>
  </si>
  <si>
    <t>82.59375 GHz</t>
  </si>
  <si>
    <t>72.625 GHz</t>
  </si>
  <si>
    <t>82.625 GHz</t>
  </si>
  <si>
    <t>72.65625 GHz</t>
  </si>
  <si>
    <t>82.65625 GHz</t>
  </si>
  <si>
    <t>72.6875 GHz</t>
  </si>
  <si>
    <t>82.6875 GHz</t>
  </si>
  <si>
    <t>72.71875 GHz</t>
  </si>
  <si>
    <t>82.71875 GHz</t>
  </si>
  <si>
    <t>72.75 GHz</t>
  </si>
  <si>
    <t>82.75 GHz</t>
  </si>
  <si>
    <t>72.78125 GHz</t>
  </si>
  <si>
    <t>82.78125 GHz</t>
  </si>
  <si>
    <t>72.8125 GHz</t>
  </si>
  <si>
    <t>82.8125 GHz</t>
  </si>
  <si>
    <t>72.84375 GHz</t>
  </si>
  <si>
    <t>82.84375 GHz</t>
  </si>
  <si>
    <t>72.875 GHz</t>
  </si>
  <si>
    <t>82.875 GHz</t>
  </si>
  <si>
    <t>72.90625 GHz</t>
  </si>
  <si>
    <t>82.90625 GHz</t>
  </si>
  <si>
    <t>72.9375 GHz</t>
  </si>
  <si>
    <t>82.9375 GHz</t>
  </si>
  <si>
    <t>72.96875 GHz</t>
  </si>
  <si>
    <t>82.96875 GHz</t>
  </si>
  <si>
    <t>73 GHz</t>
  </si>
  <si>
    <t>83 GHz</t>
  </si>
  <si>
    <t>73.03125 GHz</t>
  </si>
  <si>
    <t>83.03125 GHz</t>
  </si>
  <si>
    <t>73.0625 GHz</t>
  </si>
  <si>
    <t>83.0625 GHz</t>
  </si>
  <si>
    <t>73.09375 GHz</t>
  </si>
  <si>
    <t>83.09375 GHz</t>
  </si>
  <si>
    <t>73.15625 GHz</t>
  </si>
  <si>
    <t>83.15625 GHz</t>
  </si>
  <si>
    <t>73.1875 GHz</t>
  </si>
  <si>
    <t>83.1875 GHz</t>
  </si>
  <si>
    <t>73.21875 GHz</t>
  </si>
  <si>
    <t>83.21875 GHz</t>
  </si>
  <si>
    <t>73.25 GHz</t>
  </si>
  <si>
    <t>83.25 GHz</t>
  </si>
  <si>
    <t>73.28125 GHz</t>
  </si>
  <si>
    <t>83.28125 GHz</t>
  </si>
  <si>
    <t>73.3125 GHz</t>
  </si>
  <si>
    <t>83.3125 GHz</t>
  </si>
  <si>
    <t>73.34375 GHz</t>
  </si>
  <si>
    <t>83.34375 GHz</t>
  </si>
  <si>
    <t>73.375 GHz</t>
  </si>
  <si>
    <t>83.375 GHz</t>
  </si>
  <si>
    <t>73.40625 GHz</t>
  </si>
  <si>
    <t>83.40625 GHz</t>
  </si>
  <si>
    <t>73.4375 GHz</t>
  </si>
  <si>
    <t>83.4375 GHz</t>
  </si>
  <si>
    <t>73.46875 GHz</t>
  </si>
  <si>
    <t>83.46875 GHz</t>
  </si>
  <si>
    <t>73.5 GHz</t>
  </si>
  <si>
    <t>83.5 GHz</t>
  </si>
  <si>
    <t>kun TDD-bruk</t>
  </si>
  <si>
    <t>73.53125 GHz</t>
  </si>
  <si>
    <t>83.53125 GHz</t>
  </si>
  <si>
    <t>73.5625 GHz</t>
  </si>
  <si>
    <t>83.5625 GHz</t>
  </si>
  <si>
    <t>73.59375 GHz</t>
  </si>
  <si>
    <t>83.59375 GHz</t>
  </si>
  <si>
    <t>73.65625 GHz</t>
  </si>
  <si>
    <t>83.65625 GHz</t>
  </si>
  <si>
    <t>73.6875 GHz</t>
  </si>
  <si>
    <t>83.6875 GHz</t>
  </si>
  <si>
    <t>73.71875 GHz</t>
  </si>
  <si>
    <t>83.71875 GHz</t>
  </si>
  <si>
    <t>73.75 GHz</t>
  </si>
  <si>
    <t>83.75 GHz</t>
  </si>
  <si>
    <t>73.78125 GHz</t>
  </si>
  <si>
    <t>83.78125 GHz</t>
  </si>
  <si>
    <t>73.8125 GHz</t>
  </si>
  <si>
    <t>83.8125 GHz</t>
  </si>
  <si>
    <t>73.84375 GHz</t>
  </si>
  <si>
    <t>83.84375 GHz</t>
  </si>
  <si>
    <t>73.875 GHz</t>
  </si>
  <si>
    <t>83.875 GHz</t>
  </si>
  <si>
    <t>73.90625 GHz</t>
  </si>
  <si>
    <t>83.90625 GHz</t>
  </si>
  <si>
    <t>73.9375 GHz</t>
  </si>
  <si>
    <t>83.9375 GHz</t>
  </si>
  <si>
    <t>73.96875 GHz</t>
  </si>
  <si>
    <t>83.96875 GHz</t>
  </si>
  <si>
    <t>74 GHz</t>
  </si>
  <si>
    <t>84 GHz</t>
  </si>
  <si>
    <t>74.03125 GHz</t>
  </si>
  <si>
    <t>84.03125 GHz</t>
  </si>
  <si>
    <t>74.0625 GHz</t>
  </si>
  <si>
    <t>84.0625 GHz</t>
  </si>
  <si>
    <t>74.09375 GHz</t>
  </si>
  <si>
    <t>84.09375 GHz</t>
  </si>
  <si>
    <t>74.125 GHz</t>
  </si>
  <si>
    <t>84.125 GHz</t>
  </si>
  <si>
    <t>74.15625 GHz</t>
  </si>
  <si>
    <t>84.15625 GHz</t>
  </si>
  <si>
    <t>74.1875 GHz</t>
  </si>
  <si>
    <t>84.1875 GHz</t>
  </si>
  <si>
    <t>74.21875 GHz</t>
  </si>
  <si>
    <t>84.21875 GHz</t>
  </si>
  <si>
    <t>74.25 GHz</t>
  </si>
  <si>
    <t>84.25 GHz</t>
  </si>
  <si>
    <t>74.28125 GHz</t>
  </si>
  <si>
    <t>84.28125 GHz</t>
  </si>
  <si>
    <t>74.3125 GHz</t>
  </si>
  <si>
    <t>84.3125 GHz</t>
  </si>
  <si>
    <t>74.34375 GHz</t>
  </si>
  <si>
    <t>84.34375 GHz</t>
  </si>
  <si>
    <t>74.375 GHz</t>
  </si>
  <si>
    <t>84.375 GHz</t>
  </si>
  <si>
    <t>74.40625 GHz</t>
  </si>
  <si>
    <t>84.40625 GHz</t>
  </si>
  <si>
    <t>74.4375 GHz</t>
  </si>
  <si>
    <t>84.4375 GHz</t>
  </si>
  <si>
    <t>74.46875 GHz</t>
  </si>
  <si>
    <t>84.46875 GHz</t>
  </si>
  <si>
    <t>74.5 GHz</t>
  </si>
  <si>
    <t>84.5 GHz</t>
  </si>
  <si>
    <t>74.53125 GHz</t>
  </si>
  <si>
    <t>84.53125 GHz</t>
  </si>
  <si>
    <t>74.5625 GHz</t>
  </si>
  <si>
    <t>84.5625 GHz</t>
  </si>
  <si>
    <t>74.59375 GHz</t>
  </si>
  <si>
    <t>84.59375 GHz</t>
  </si>
  <si>
    <t>74.65625 GHz</t>
  </si>
  <si>
    <t>84.65625 GHz</t>
  </si>
  <si>
    <t>74.625 GHz</t>
  </si>
  <si>
    <t>84.625 GHz</t>
  </si>
  <si>
    <t>74.6875 GHz</t>
  </si>
  <si>
    <t>84.6875 GHz</t>
  </si>
  <si>
    <t>74.71875 GHz</t>
  </si>
  <si>
    <t>84.71875 GHz</t>
  </si>
  <si>
    <t>74.75 GHz</t>
  </si>
  <si>
    <t>84.75 GHz</t>
  </si>
  <si>
    <t>74.78125 GHz</t>
  </si>
  <si>
    <t>84.78125 GHz</t>
  </si>
  <si>
    <t>74.8125 GHz</t>
  </si>
  <si>
    <t>84.8125 GHz</t>
  </si>
  <si>
    <t>74.84375 GHz</t>
  </si>
  <si>
    <t>84.84375 GHz</t>
  </si>
  <si>
    <t>74.875 GHz</t>
  </si>
  <si>
    <t>84.875 GHz</t>
  </si>
  <si>
    <t>74.90625 GHz</t>
  </si>
  <si>
    <t>84.90625 GHz</t>
  </si>
  <si>
    <t>74.9375 GHz</t>
  </si>
  <si>
    <t>84.9375 GHz</t>
  </si>
  <si>
    <t>74.96875 GHz</t>
  </si>
  <si>
    <t>84.96875 GHz</t>
  </si>
  <si>
    <t>75 GHz</t>
  </si>
  <si>
    <t>85 GHz</t>
  </si>
  <si>
    <t>75.03125 GHz</t>
  </si>
  <si>
    <t>85.03125 GHz</t>
  </si>
  <si>
    <t>75.0625 GHz</t>
  </si>
  <si>
    <t>85.0625 GHz</t>
  </si>
  <si>
    <t>75.09375 GHz</t>
  </si>
  <si>
    <t>85.09375 GHz</t>
  </si>
  <si>
    <t>75.125 GHz</t>
  </si>
  <si>
    <t>85.125 GHz</t>
  </si>
  <si>
    <t>75.15625 GHz</t>
  </si>
  <si>
    <t>85.15625 GHz</t>
  </si>
  <si>
    <t>75.1875 GHz</t>
  </si>
  <si>
    <t>85.1875 GHz</t>
  </si>
  <si>
    <t>75.21875 GHz</t>
  </si>
  <si>
    <t>85.21875 GHz</t>
  </si>
  <si>
    <t>75.25 GHz</t>
  </si>
  <si>
    <t>85.25 GHz</t>
  </si>
  <si>
    <t>75.28125 GHz</t>
  </si>
  <si>
    <t>85.28125 GHz</t>
  </si>
  <si>
    <t>75.3125 GHz</t>
  </si>
  <si>
    <t>85.3125 GHz</t>
  </si>
  <si>
    <t>75.34375 GHz</t>
  </si>
  <si>
    <t>85.34375 GHz</t>
  </si>
  <si>
    <t>75.375 GHz</t>
  </si>
  <si>
    <t>85.375 GHz</t>
  </si>
  <si>
    <t>75.40625 GHz</t>
  </si>
  <si>
    <t>85.40625 GHz</t>
  </si>
  <si>
    <t>75.4375 GHz</t>
  </si>
  <si>
    <t>85.4375 GHz</t>
  </si>
  <si>
    <t>75.46875 GHz</t>
  </si>
  <si>
    <t>85.46875 GHz</t>
  </si>
  <si>
    <t>75.5 GHz</t>
  </si>
  <si>
    <t>85.5 GHz</t>
  </si>
  <si>
    <t>75.53125 GHz</t>
  </si>
  <si>
    <t>85.53125 GHz</t>
  </si>
  <si>
    <t>75.5625 GHz</t>
  </si>
  <si>
    <t>85.5625 GHz</t>
  </si>
  <si>
    <t>75.59375 GHz</t>
  </si>
  <si>
    <t>85.59375 GHz</t>
  </si>
  <si>
    <t>75.65625 GHz</t>
  </si>
  <si>
    <t>85.65625 GHz</t>
  </si>
  <si>
    <t>75.6875 GHz</t>
  </si>
  <si>
    <t>85.6875 GHz</t>
  </si>
  <si>
    <t>75.71875 GHz</t>
  </si>
  <si>
    <t>85.71875 GHz</t>
  </si>
  <si>
    <t>75.75 GHz</t>
  </si>
  <si>
    <t>85.75 GHz</t>
  </si>
  <si>
    <t>75.78125 GHz</t>
  </si>
  <si>
    <t>85.78125 GHz</t>
  </si>
  <si>
    <t>75.8125 GHz</t>
  </si>
  <si>
    <t>85.8125 GHz</t>
  </si>
  <si>
    <t>75.84375 GHz</t>
  </si>
  <si>
    <t>85.84375 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</si>
</sst>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0.000"/>
    <numFmt numFmtId="167" formatCode="0.0000"/>
  </numFmts>
  <fonts count="5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3F3F3F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Small Fonts"/>
      <family val="2"/>
    </font>
    <font>
      <b/>
      <sz val="7"/>
      <name val="Small Fonts"/>
      <family val="2"/>
    </font>
    <font>
      <sz val="8"/>
      <color indexed="22"/>
      <name val="Tahoma"/>
      <family val="2"/>
    </font>
    <font>
      <sz val="7"/>
      <color indexed="22"/>
      <name val="Small Fonts"/>
      <family val="2"/>
    </font>
    <font>
      <sz val="8"/>
      <name val="Arial"/>
      <family val="2"/>
    </font>
    <font>
      <strike/>
      <sz val="8"/>
      <name val="Tahoma"/>
      <family val="2"/>
    </font>
    <font>
      <u/>
      <sz val="8"/>
      <name val="Arial"/>
      <family val="2"/>
    </font>
    <font>
      <b/>
      <sz val="12"/>
      <name val="Tahoma"/>
      <family val="2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rgb="FF000000"/>
      <name val="Calibri"/>
      <family val="2"/>
    </font>
    <font>
      <sz val="10"/>
      <name val="Arial"/>
    </font>
    <font>
      <b/>
      <sz val="10"/>
      <name val="Arial"/>
    </font>
    <font>
      <b/>
      <u/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0"/>
      <color theme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D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5050"/>
        <bgColor rgb="FF000000"/>
      </patternFill>
    </fill>
    <fill>
      <patternFill patternType="solid">
        <fgColor rgb="FFFF9966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</fills>
  <borders count="1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6" fillId="0" borderId="0"/>
    <xf numFmtId="9" fontId="26" fillId="0" borderId="0" applyFont="0" applyFill="0" applyBorder="0" applyAlignment="0" applyProtection="0"/>
    <xf numFmtId="0" fontId="20" fillId="0" borderId="0"/>
    <xf numFmtId="0" fontId="45" fillId="0" borderId="0" applyNumberFormat="0" applyFill="0" applyBorder="0" applyAlignment="0" applyProtection="0"/>
  </cellStyleXfs>
  <cellXfs count="95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2" fillId="0" borderId="8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9" xfId="0" applyBorder="1"/>
    <xf numFmtId="0" fontId="2" fillId="0" borderId="11" xfId="0" applyFont="1" applyBorder="1"/>
    <xf numFmtId="0" fontId="0" fillId="2" borderId="12" xfId="0" applyFill="1" applyBorder="1"/>
    <xf numFmtId="0" fontId="3" fillId="2" borderId="13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2" xfId="0" applyFill="1" applyBorder="1" applyAlignment="1">
      <alignment horizontal="center"/>
    </xf>
    <xf numFmtId="0" fontId="2" fillId="2" borderId="13" xfId="0" applyFont="1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2" fillId="0" borderId="15" xfId="0" applyFont="1" applyBorder="1"/>
    <xf numFmtId="0" fontId="0" fillId="2" borderId="16" xfId="0" applyFill="1" applyBorder="1"/>
    <xf numFmtId="0" fontId="3" fillId="2" borderId="17" xfId="0" applyFont="1" applyFill="1" applyBorder="1"/>
    <xf numFmtId="0" fontId="0" fillId="2" borderId="17" xfId="0" applyFill="1" applyBorder="1"/>
    <xf numFmtId="0" fontId="3" fillId="2" borderId="18" xfId="0" applyFont="1" applyFill="1" applyBorder="1"/>
    <xf numFmtId="0" fontId="0" fillId="2" borderId="16" xfId="0" applyFill="1" applyBorder="1" applyAlignment="1">
      <alignment horizontal="center"/>
    </xf>
    <xf numFmtId="0" fontId="2" fillId="2" borderId="17" xfId="0" applyFont="1" applyFill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left"/>
    </xf>
    <xf numFmtId="0" fontId="2" fillId="0" borderId="19" xfId="0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left"/>
    </xf>
    <xf numFmtId="0" fontId="0" fillId="0" borderId="16" xfId="0" applyBorder="1"/>
    <xf numFmtId="0" fontId="0" fillId="0" borderId="18" xfId="0" applyBorder="1"/>
    <xf numFmtId="0" fontId="0" fillId="0" borderId="17" xfId="0" applyBorder="1" applyAlignment="1">
      <alignment horizontal="center"/>
    </xf>
    <xf numFmtId="0" fontId="0" fillId="0" borderId="19" xfId="0" applyBorder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6" xfId="0" applyFont="1" applyBorder="1"/>
    <xf numFmtId="0" fontId="5" fillId="0" borderId="44" xfId="0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33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/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left"/>
    </xf>
    <xf numFmtId="0" fontId="5" fillId="0" borderId="36" xfId="0" applyFont="1" applyBorder="1"/>
    <xf numFmtId="0" fontId="7" fillId="0" borderId="16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37" xfId="0" applyFont="1" applyBorder="1" applyAlignment="1">
      <alignment horizontal="center"/>
    </xf>
    <xf numFmtId="0" fontId="5" fillId="0" borderId="38" xfId="0" applyFont="1" applyBorder="1"/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/>
    <xf numFmtId="0" fontId="5" fillId="3" borderId="38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left"/>
    </xf>
    <xf numFmtId="0" fontId="5" fillId="0" borderId="43" xfId="0" applyFont="1" applyBorder="1"/>
    <xf numFmtId="0" fontId="5" fillId="0" borderId="13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5" fillId="0" borderId="32" xfId="0" applyFont="1" applyBorder="1"/>
    <xf numFmtId="0" fontId="5" fillId="0" borderId="18" xfId="0" applyFont="1" applyBorder="1" applyAlignment="1">
      <alignment horizontal="left"/>
    </xf>
    <xf numFmtId="0" fontId="5" fillId="0" borderId="45" xfId="0" applyFont="1" applyBorder="1" applyAlignment="1">
      <alignment horizontal="center"/>
    </xf>
    <xf numFmtId="0" fontId="2" fillId="0" borderId="17" xfId="0" applyFont="1" applyBorder="1"/>
    <xf numFmtId="0" fontId="5" fillId="0" borderId="17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34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42" xfId="0" applyFont="1" applyBorder="1" applyAlignment="1">
      <alignment horizontal="right"/>
    </xf>
    <xf numFmtId="0" fontId="5" fillId="0" borderId="41" xfId="0" applyFont="1" applyBorder="1" applyAlignment="1">
      <alignment horizontal="left"/>
    </xf>
    <xf numFmtId="0" fontId="5" fillId="0" borderId="31" xfId="0" applyFont="1" applyBorder="1" applyAlignment="1">
      <alignment horizontal="right"/>
    </xf>
    <xf numFmtId="0" fontId="5" fillId="0" borderId="30" xfId="0" applyFont="1" applyBorder="1" applyAlignment="1">
      <alignment horizontal="left"/>
    </xf>
    <xf numFmtId="0" fontId="2" fillId="0" borderId="24" xfId="0" applyFont="1" applyBorder="1"/>
    <xf numFmtId="0" fontId="2" fillId="0" borderId="52" xfId="0" applyFont="1" applyBorder="1"/>
    <xf numFmtId="0" fontId="0" fillId="0" borderId="53" xfId="0" applyBorder="1"/>
    <xf numFmtId="0" fontId="0" fillId="0" borderId="54" xfId="0" applyBorder="1"/>
    <xf numFmtId="0" fontId="0" fillId="4" borderId="55" xfId="0" applyFill="1" applyBorder="1"/>
    <xf numFmtId="0" fontId="2" fillId="0" borderId="53" xfId="0" applyFont="1" applyBorder="1" applyAlignment="1">
      <alignment horizontal="left"/>
    </xf>
    <xf numFmtId="0" fontId="0" fillId="0" borderId="53" xfId="0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2" fillId="0" borderId="58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3" xfId="0" applyBorder="1"/>
    <xf numFmtId="0" fontId="0" fillId="0" borderId="14" xfId="0" applyBorder="1"/>
    <xf numFmtId="0" fontId="2" fillId="0" borderId="31" xfId="0" applyFont="1" applyBorder="1"/>
    <xf numFmtId="0" fontId="2" fillId="0" borderId="13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0" borderId="29" xfId="0" applyBorder="1"/>
    <xf numFmtId="0" fontId="0" fillId="4" borderId="58" xfId="0" applyFill="1" applyBorder="1"/>
    <xf numFmtId="0" fontId="5" fillId="0" borderId="60" xfId="0" applyFont="1" applyBorder="1"/>
    <xf numFmtId="0" fontId="5" fillId="0" borderId="44" xfId="0" applyFont="1" applyBorder="1"/>
    <xf numFmtId="0" fontId="5" fillId="0" borderId="61" xfId="0" applyFont="1" applyBorder="1"/>
    <xf numFmtId="0" fontId="5" fillId="0" borderId="62" xfId="0" applyFont="1" applyBorder="1"/>
    <xf numFmtId="0" fontId="5" fillId="0" borderId="63" xfId="0" applyFont="1" applyBorder="1"/>
    <xf numFmtId="0" fontId="5" fillId="4" borderId="59" xfId="0" applyFont="1" applyFill="1" applyBorder="1"/>
    <xf numFmtId="0" fontId="5" fillId="0" borderId="35" xfId="0" applyFont="1" applyBorder="1" applyAlignment="1">
      <alignment horizontal="center"/>
    </xf>
    <xf numFmtId="0" fontId="5" fillId="0" borderId="35" xfId="0" applyFont="1" applyBorder="1"/>
    <xf numFmtId="0" fontId="5" fillId="0" borderId="44" xfId="0" applyFont="1" applyBorder="1" applyAlignment="1">
      <alignment horizontal="center"/>
    </xf>
    <xf numFmtId="0" fontId="5" fillId="0" borderId="20" xfId="0" applyFont="1" applyBorder="1"/>
    <xf numFmtId="0" fontId="5" fillId="0" borderId="47" xfId="0" applyFont="1" applyBorder="1"/>
    <xf numFmtId="0" fontId="5" fillId="0" borderId="64" xfId="0" applyFont="1" applyBorder="1"/>
    <xf numFmtId="0" fontId="5" fillId="0" borderId="66" xfId="0" applyFont="1" applyBorder="1"/>
    <xf numFmtId="0" fontId="5" fillId="0" borderId="67" xfId="0" applyFont="1" applyBorder="1"/>
    <xf numFmtId="0" fontId="5" fillId="0" borderId="68" xfId="0" applyFont="1" applyBorder="1"/>
    <xf numFmtId="0" fontId="5" fillId="4" borderId="65" xfId="0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69" xfId="0" applyBorder="1"/>
    <xf numFmtId="0" fontId="0" fillId="0" borderId="55" xfId="0" applyBorder="1" applyAlignment="1">
      <alignment horizontal="left"/>
    </xf>
    <xf numFmtId="0" fontId="0" fillId="0" borderId="55" xfId="0" applyBorder="1" applyAlignment="1">
      <alignment horizontal="center"/>
    </xf>
    <xf numFmtId="0" fontId="0" fillId="0" borderId="70" xfId="0" applyBorder="1" applyAlignment="1">
      <alignment horizontal="left"/>
    </xf>
    <xf numFmtId="0" fontId="0" fillId="0" borderId="71" xfId="0" applyBorder="1"/>
    <xf numFmtId="0" fontId="0" fillId="0" borderId="72" xfId="0" applyBorder="1" applyAlignment="1">
      <alignment horizontal="left"/>
    </xf>
    <xf numFmtId="0" fontId="0" fillId="0" borderId="73" xfId="0" applyBorder="1"/>
    <xf numFmtId="0" fontId="0" fillId="0" borderId="51" xfId="0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74" xfId="0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71" xfId="0" applyFont="1" applyBorder="1"/>
    <xf numFmtId="0" fontId="5" fillId="0" borderId="72" xfId="0" applyFont="1" applyBorder="1" applyAlignment="1">
      <alignment horizontal="left"/>
    </xf>
    <xf numFmtId="0" fontId="8" fillId="0" borderId="0" xfId="1" applyAlignment="1" applyProtection="1"/>
    <xf numFmtId="0" fontId="0" fillId="0" borderId="0" xfId="0" quotePrefix="1"/>
    <xf numFmtId="0" fontId="13" fillId="0" borderId="24" xfId="0" applyFont="1" applyBorder="1"/>
    <xf numFmtId="0" fontId="13" fillId="0" borderId="28" xfId="0" applyFont="1" applyBorder="1"/>
    <xf numFmtId="0" fontId="0" fillId="4" borderId="0" xfId="0" applyFill="1"/>
    <xf numFmtId="0" fontId="0" fillId="0" borderId="72" xfId="0" applyBorder="1"/>
    <xf numFmtId="0" fontId="14" fillId="0" borderId="0" xfId="1" applyFont="1" applyAlignment="1" applyProtection="1"/>
    <xf numFmtId="0" fontId="17" fillId="0" borderId="0" xfId="0" applyFont="1"/>
    <xf numFmtId="0" fontId="0" fillId="0" borderId="75" xfId="0" applyBorder="1"/>
    <xf numFmtId="0" fontId="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left"/>
    </xf>
    <xf numFmtId="0" fontId="2" fillId="0" borderId="76" xfId="0" applyFont="1" applyBorder="1" applyAlignment="1">
      <alignment horizontal="left"/>
    </xf>
    <xf numFmtId="0" fontId="0" fillId="0" borderId="76" xfId="0" applyBorder="1" applyAlignment="1">
      <alignment horizontal="left"/>
    </xf>
    <xf numFmtId="0" fontId="2" fillId="0" borderId="78" xfId="0" applyFont="1" applyBorder="1"/>
    <xf numFmtId="0" fontId="3" fillId="2" borderId="2" xfId="0" applyFont="1" applyFill="1" applyBorder="1"/>
    <xf numFmtId="0" fontId="0" fillId="2" borderId="2" xfId="0" applyFill="1" applyBorder="1"/>
    <xf numFmtId="0" fontId="3" fillId="2" borderId="80" xfId="0" applyFont="1" applyFill="1" applyBorder="1"/>
    <xf numFmtId="0" fontId="0" fillId="0" borderId="79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5" fillId="2" borderId="81" xfId="0" applyFont="1" applyFill="1" applyBorder="1"/>
    <xf numFmtId="0" fontId="0" fillId="0" borderId="44" xfId="0" applyBorder="1"/>
    <xf numFmtId="0" fontId="0" fillId="0" borderId="83" xfId="0" applyBorder="1"/>
    <xf numFmtId="0" fontId="0" fillId="0" borderId="82" xfId="0" applyBorder="1" applyAlignment="1">
      <alignment horizontal="center"/>
    </xf>
    <xf numFmtId="0" fontId="0" fillId="2" borderId="80" xfId="0" applyFill="1" applyBorder="1" applyAlignment="1">
      <alignment horizontal="left"/>
    </xf>
    <xf numFmtId="0" fontId="0" fillId="2" borderId="44" xfId="0" applyFill="1" applyBorder="1"/>
    <xf numFmtId="0" fontId="0" fillId="2" borderId="83" xfId="0" applyFill="1" applyBorder="1" applyAlignment="1">
      <alignment horizontal="left"/>
    </xf>
    <xf numFmtId="0" fontId="0" fillId="2" borderId="44" xfId="0" applyFill="1" applyBorder="1" applyAlignment="1">
      <alignment horizontal="left"/>
    </xf>
    <xf numFmtId="0" fontId="0" fillId="0" borderId="84" xfId="0" applyBorder="1"/>
    <xf numFmtId="0" fontId="0" fillId="0" borderId="85" xfId="0" applyBorder="1" applyAlignment="1">
      <alignment horizontal="center"/>
    </xf>
    <xf numFmtId="0" fontId="0" fillId="2" borderId="17" xfId="0" applyFill="1" applyBorder="1" applyAlignment="1">
      <alignment horizontal="left"/>
    </xf>
    <xf numFmtId="0" fontId="0" fillId="2" borderId="86" xfId="0" applyFill="1" applyBorder="1" applyAlignment="1">
      <alignment horizontal="left"/>
    </xf>
    <xf numFmtId="0" fontId="0" fillId="0" borderId="86" xfId="0" applyBorder="1" applyAlignment="1">
      <alignment horizontal="left"/>
    </xf>
    <xf numFmtId="0" fontId="0" fillId="2" borderId="38" xfId="0" applyFill="1" applyBorder="1" applyAlignment="1">
      <alignment horizontal="left"/>
    </xf>
    <xf numFmtId="0" fontId="5" fillId="5" borderId="87" xfId="0" applyFont="1" applyFill="1" applyBorder="1" applyAlignment="1">
      <alignment horizontal="left"/>
    </xf>
    <xf numFmtId="0" fontId="5" fillId="5" borderId="17" xfId="0" applyFont="1" applyFill="1" applyBorder="1" applyAlignment="1">
      <alignment horizontal="left"/>
    </xf>
    <xf numFmtId="0" fontId="5" fillId="5" borderId="89" xfId="0" applyFont="1" applyFill="1" applyBorder="1"/>
    <xf numFmtId="0" fontId="0" fillId="0" borderId="17" xfId="0" applyBorder="1" applyAlignment="1">
      <alignment horizontal="left"/>
    </xf>
    <xf numFmtId="0" fontId="0" fillId="0" borderId="89" xfId="0" applyBorder="1"/>
    <xf numFmtId="14" fontId="0" fillId="0" borderId="89" xfId="0" applyNumberFormat="1" applyBorder="1" applyAlignment="1">
      <alignment horizontal="left"/>
    </xf>
    <xf numFmtId="0" fontId="5" fillId="0" borderId="85" xfId="0" applyFont="1" applyBorder="1"/>
    <xf numFmtId="0" fontId="0" fillId="5" borderId="17" xfId="0" applyFill="1" applyBorder="1"/>
    <xf numFmtId="0" fontId="0" fillId="5" borderId="86" xfId="0" applyFill="1" applyBorder="1"/>
    <xf numFmtId="0" fontId="0" fillId="5" borderId="85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86" xfId="0" applyFill="1" applyBorder="1" applyAlignment="1">
      <alignment horizontal="left"/>
    </xf>
    <xf numFmtId="0" fontId="0" fillId="2" borderId="86" xfId="0" applyFill="1" applyBorder="1"/>
    <xf numFmtId="0" fontId="0" fillId="5" borderId="87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left"/>
    </xf>
    <xf numFmtId="0" fontId="0" fillId="0" borderId="38" xfId="0" applyBorder="1" applyAlignment="1">
      <alignment horizontal="left"/>
    </xf>
    <xf numFmtId="14" fontId="0" fillId="0" borderId="92" xfId="0" applyNumberFormat="1" applyBorder="1"/>
    <xf numFmtId="0" fontId="5" fillId="0" borderId="89" xfId="0" applyFont="1" applyBorder="1"/>
    <xf numFmtId="0" fontId="0" fillId="0" borderId="93" xfId="0" applyBorder="1" applyAlignment="1">
      <alignment horizontal="left"/>
    </xf>
    <xf numFmtId="0" fontId="0" fillId="0" borderId="94" xfId="0" applyBorder="1" applyAlignment="1">
      <alignment horizontal="left"/>
    </xf>
    <xf numFmtId="0" fontId="0" fillId="6" borderId="44" xfId="0" applyFill="1" applyBorder="1" applyAlignment="1">
      <alignment horizontal="left"/>
    </xf>
    <xf numFmtId="0" fontId="0" fillId="6" borderId="83" xfId="0" applyFill="1" applyBorder="1" applyAlignment="1">
      <alignment horizontal="left"/>
    </xf>
    <xf numFmtId="0" fontId="0" fillId="6" borderId="17" xfId="0" applyFill="1" applyBorder="1" applyAlignment="1">
      <alignment horizontal="left"/>
    </xf>
    <xf numFmtId="0" fontId="0" fillId="6" borderId="86" xfId="0" applyFill="1" applyBorder="1" applyAlignment="1">
      <alignment horizontal="left"/>
    </xf>
    <xf numFmtId="0" fontId="0" fillId="5" borderId="93" xfId="0" applyFill="1" applyBorder="1"/>
    <xf numFmtId="0" fontId="0" fillId="5" borderId="94" xfId="0" applyFill="1" applyBorder="1" applyAlignment="1">
      <alignment horizontal="left"/>
    </xf>
    <xf numFmtId="0" fontId="0" fillId="0" borderId="93" xfId="0" applyBorder="1"/>
    <xf numFmtId="0" fontId="0" fillId="0" borderId="95" xfId="0" applyBorder="1"/>
    <xf numFmtId="0" fontId="3" fillId="0" borderId="93" xfId="0" applyFont="1" applyBorder="1"/>
    <xf numFmtId="0" fontId="3" fillId="0" borderId="94" xfId="0" applyFont="1" applyBorder="1"/>
    <xf numFmtId="0" fontId="0" fillId="2" borderId="38" xfId="0" applyFill="1" applyBorder="1"/>
    <xf numFmtId="0" fontId="0" fillId="2" borderId="91" xfId="0" applyFill="1" applyBorder="1" applyAlignment="1">
      <alignment horizontal="left"/>
    </xf>
    <xf numFmtId="0" fontId="0" fillId="0" borderId="92" xfId="0" applyBorder="1"/>
    <xf numFmtId="0" fontId="3" fillId="2" borderId="97" xfId="0" applyFont="1" applyFill="1" applyBorder="1"/>
    <xf numFmtId="0" fontId="0" fillId="2" borderId="97" xfId="0" applyFill="1" applyBorder="1"/>
    <xf numFmtId="0" fontId="3" fillId="2" borderId="98" xfId="0" applyFont="1" applyFill="1" applyBorder="1"/>
    <xf numFmtId="0" fontId="0" fillId="0" borderId="96" xfId="0" applyBorder="1" applyAlignment="1">
      <alignment horizontal="center"/>
    </xf>
    <xf numFmtId="0" fontId="3" fillId="2" borderId="99" xfId="0" applyFont="1" applyFill="1" applyBorder="1"/>
    <xf numFmtId="0" fontId="0" fillId="2" borderId="99" xfId="0" applyFill="1" applyBorder="1" applyAlignment="1">
      <alignment horizontal="center"/>
    </xf>
    <xf numFmtId="0" fontId="3" fillId="2" borderId="100" xfId="0" applyFont="1" applyFill="1" applyBorder="1"/>
    <xf numFmtId="0" fontId="0" fillId="2" borderId="99" xfId="0" applyFill="1" applyBorder="1"/>
    <xf numFmtId="0" fontId="0" fillId="2" borderId="99" xfId="0" applyFill="1" applyBorder="1" applyAlignment="1">
      <alignment horizontal="left"/>
    </xf>
    <xf numFmtId="0" fontId="0" fillId="0" borderId="101" xfId="0" applyBorder="1"/>
    <xf numFmtId="0" fontId="0" fillId="0" borderId="63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/>
    <xf numFmtId="0" fontId="5" fillId="0" borderId="79" xfId="0" applyFont="1" applyBorder="1"/>
    <xf numFmtId="0" fontId="3" fillId="5" borderId="2" xfId="0" applyFont="1" applyFill="1" applyBorder="1"/>
    <xf numFmtId="0" fontId="3" fillId="0" borderId="2" xfId="0" applyFont="1" applyBorder="1"/>
    <xf numFmtId="0" fontId="3" fillId="0" borderId="102" xfId="0" applyFont="1" applyBorder="1"/>
    <xf numFmtId="0" fontId="5" fillId="0" borderId="79" xfId="0" applyFont="1" applyBorder="1" applyAlignment="1">
      <alignment horizontal="center"/>
    </xf>
    <xf numFmtId="164" fontId="3" fillId="5" borderId="2" xfId="0" applyNumberFormat="1" applyFont="1" applyFill="1" applyBorder="1"/>
    <xf numFmtId="0" fontId="3" fillId="0" borderId="3" xfId="0" applyFont="1" applyBorder="1"/>
    <xf numFmtId="0" fontId="3" fillId="0" borderId="103" xfId="0" applyFont="1" applyBorder="1"/>
    <xf numFmtId="0" fontId="5" fillId="7" borderId="81" xfId="0" applyFont="1" applyFill="1" applyBorder="1"/>
    <xf numFmtId="0" fontId="3" fillId="0" borderId="104" xfId="0" applyFont="1" applyBorder="1"/>
    <xf numFmtId="164" fontId="3" fillId="0" borderId="104" xfId="0" applyNumberFormat="1" applyFont="1" applyBorder="1"/>
    <xf numFmtId="0" fontId="3" fillId="0" borderId="105" xfId="0" applyFont="1" applyBorder="1"/>
    <xf numFmtId="0" fontId="5" fillId="0" borderId="82" xfId="0" applyFont="1" applyBorder="1"/>
    <xf numFmtId="0" fontId="5" fillId="0" borderId="85" xfId="0" applyFont="1" applyBorder="1" applyAlignment="1">
      <alignment horizontal="center"/>
    </xf>
    <xf numFmtId="0" fontId="5" fillId="0" borderId="86" xfId="0" applyFont="1" applyBorder="1"/>
    <xf numFmtId="0" fontId="5" fillId="0" borderId="86" xfId="0" applyFont="1" applyBorder="1" applyAlignment="1">
      <alignment horizontal="left"/>
    </xf>
    <xf numFmtId="164" fontId="5" fillId="0" borderId="17" xfId="0" applyNumberFormat="1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91" xfId="0" applyFont="1" applyBorder="1" applyAlignment="1">
      <alignment horizontal="left"/>
    </xf>
    <xf numFmtId="164" fontId="5" fillId="0" borderId="17" xfId="0" applyNumberFormat="1" applyFont="1" applyBorder="1"/>
    <xf numFmtId="164" fontId="5" fillId="0" borderId="38" xfId="0" applyNumberFormat="1" applyFont="1" applyBorder="1" applyAlignment="1">
      <alignment horizontal="left"/>
    </xf>
    <xf numFmtId="0" fontId="5" fillId="0" borderId="90" xfId="0" applyFont="1" applyBorder="1" applyAlignment="1">
      <alignment horizontal="center"/>
    </xf>
    <xf numFmtId="0" fontId="5" fillId="0" borderId="90" xfId="0" applyFont="1" applyBorder="1"/>
    <xf numFmtId="0" fontId="5" fillId="2" borderId="44" xfId="0" applyFont="1" applyFill="1" applyBorder="1"/>
    <xf numFmtId="0" fontId="5" fillId="2" borderId="38" xfId="0" applyFont="1" applyFill="1" applyBorder="1"/>
    <xf numFmtId="0" fontId="5" fillId="2" borderId="85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7" xfId="0" applyFont="1" applyFill="1" applyBorder="1" applyAlignment="1">
      <alignment horizontal="center"/>
    </xf>
    <xf numFmtId="0" fontId="5" fillId="2" borderId="86" xfId="0" applyFont="1" applyFill="1" applyBorder="1" applyAlignment="1">
      <alignment horizontal="left"/>
    </xf>
    <xf numFmtId="164" fontId="5" fillId="2" borderId="17" xfId="0" applyNumberFormat="1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8" borderId="44" xfId="0" applyFont="1" applyFill="1" applyBorder="1"/>
    <xf numFmtId="0" fontId="5" fillId="8" borderId="17" xfId="0" applyFont="1" applyFill="1" applyBorder="1"/>
    <xf numFmtId="164" fontId="5" fillId="8" borderId="17" xfId="0" applyNumberFormat="1" applyFont="1" applyFill="1" applyBorder="1" applyAlignment="1">
      <alignment horizontal="left"/>
    </xf>
    <xf numFmtId="0" fontId="5" fillId="8" borderId="17" xfId="0" applyFont="1" applyFill="1" applyBorder="1" applyAlignment="1">
      <alignment horizontal="left"/>
    </xf>
    <xf numFmtId="164" fontId="5" fillId="8" borderId="17" xfId="0" applyNumberFormat="1" applyFont="1" applyFill="1" applyBorder="1"/>
    <xf numFmtId="0" fontId="5" fillId="2" borderId="109" xfId="0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91" xfId="0" applyFont="1" applyBorder="1" applyAlignment="1">
      <alignment horizontal="left"/>
    </xf>
    <xf numFmtId="0" fontId="5" fillId="9" borderId="35" xfId="0" applyFont="1" applyFill="1" applyBorder="1" applyAlignment="1">
      <alignment horizontal="center"/>
    </xf>
    <xf numFmtId="164" fontId="3" fillId="9" borderId="17" xfId="0" applyNumberFormat="1" applyFont="1" applyFill="1" applyBorder="1" applyAlignment="1">
      <alignment horizontal="left"/>
    </xf>
    <xf numFmtId="0" fontId="3" fillId="9" borderId="17" xfId="0" applyFont="1" applyFill="1" applyBorder="1" applyAlignment="1">
      <alignment horizontal="left"/>
    </xf>
    <xf numFmtId="0" fontId="3" fillId="9" borderId="91" xfId="0" applyFont="1" applyFill="1" applyBorder="1" applyAlignment="1">
      <alignment horizontal="left"/>
    </xf>
    <xf numFmtId="0" fontId="5" fillId="8" borderId="111" xfId="0" applyFont="1" applyFill="1" applyBorder="1"/>
    <xf numFmtId="0" fontId="5" fillId="0" borderId="99" xfId="0" applyFont="1" applyBorder="1"/>
    <xf numFmtId="0" fontId="3" fillId="0" borderId="99" xfId="0" applyFont="1" applyBorder="1" applyAlignment="1">
      <alignment horizontal="left"/>
    </xf>
    <xf numFmtId="0" fontId="3" fillId="5" borderId="112" xfId="0" applyFont="1" applyFill="1" applyBorder="1" applyAlignment="1">
      <alignment horizontal="left"/>
    </xf>
    <xf numFmtId="0" fontId="5" fillId="0" borderId="113" xfId="0" applyFont="1" applyBorder="1" applyAlignment="1">
      <alignment horizontal="center"/>
    </xf>
    <xf numFmtId="164" fontId="3" fillId="0" borderId="99" xfId="0" applyNumberFormat="1" applyFont="1" applyBorder="1" applyAlignment="1">
      <alignment horizontal="left"/>
    </xf>
    <xf numFmtId="0" fontId="5" fillId="0" borderId="99" xfId="0" applyFont="1" applyBorder="1" applyAlignment="1">
      <alignment horizontal="left"/>
    </xf>
    <xf numFmtId="0" fontId="5" fillId="5" borderId="114" xfId="0" applyFont="1" applyFill="1" applyBorder="1"/>
    <xf numFmtId="0" fontId="2" fillId="0" borderId="115" xfId="0" applyFont="1" applyBorder="1"/>
    <xf numFmtId="0" fontId="0" fillId="0" borderId="115" xfId="0" applyBorder="1"/>
    <xf numFmtId="0" fontId="0" fillId="0" borderId="103" xfId="0" applyBorder="1"/>
    <xf numFmtId="0" fontId="0" fillId="0" borderId="116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03" xfId="0" applyBorder="1" applyAlignment="1">
      <alignment horizontal="left"/>
    </xf>
    <xf numFmtId="0" fontId="2" fillId="0" borderId="115" xfId="0" applyFont="1" applyBorder="1" applyAlignment="1">
      <alignment horizontal="left"/>
    </xf>
    <xf numFmtId="0" fontId="0" fillId="0" borderId="115" xfId="0" applyBorder="1" applyAlignment="1">
      <alignment horizontal="left"/>
    </xf>
    <xf numFmtId="0" fontId="3" fillId="5" borderId="117" xfId="0" applyFont="1" applyFill="1" applyBorder="1"/>
    <xf numFmtId="0" fontId="3" fillId="0" borderId="117" xfId="0" applyFont="1" applyBorder="1"/>
    <xf numFmtId="0" fontId="0" fillId="0" borderId="118" xfId="0" applyBorder="1"/>
    <xf numFmtId="0" fontId="5" fillId="0" borderId="119" xfId="0" applyFont="1" applyBorder="1" applyAlignment="1">
      <alignment horizontal="center"/>
    </xf>
    <xf numFmtId="0" fontId="5" fillId="0" borderId="117" xfId="0" applyFont="1" applyBorder="1"/>
    <xf numFmtId="0" fontId="5" fillId="5" borderId="81" xfId="0" applyFont="1" applyFill="1" applyBorder="1"/>
    <xf numFmtId="0" fontId="3" fillId="5" borderId="93" xfId="0" applyFont="1" applyFill="1" applyBorder="1"/>
    <xf numFmtId="0" fontId="5" fillId="5" borderId="2" xfId="0" applyFont="1" applyFill="1" applyBorder="1"/>
    <xf numFmtId="0" fontId="3" fillId="5" borderId="94" xfId="0" applyFont="1" applyFill="1" applyBorder="1"/>
    <xf numFmtId="0" fontId="5" fillId="5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10" borderId="2" xfId="0" applyFont="1" applyFill="1" applyBorder="1"/>
    <xf numFmtId="0" fontId="5" fillId="10" borderId="2" xfId="0" applyFont="1" applyFill="1" applyBorder="1"/>
    <xf numFmtId="0" fontId="3" fillId="10" borderId="80" xfId="0" applyFont="1" applyFill="1" applyBorder="1"/>
    <xf numFmtId="0" fontId="3" fillId="10" borderId="3" xfId="0" applyFont="1" applyFill="1" applyBorder="1"/>
    <xf numFmtId="0" fontId="5" fillId="0" borderId="81" xfId="0" applyFont="1" applyBorder="1"/>
    <xf numFmtId="0" fontId="5" fillId="10" borderId="35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left"/>
    </xf>
    <xf numFmtId="0" fontId="5" fillId="10" borderId="86" xfId="0" applyFont="1" applyFill="1" applyBorder="1" applyAlignment="1">
      <alignment horizontal="left"/>
    </xf>
    <xf numFmtId="0" fontId="5" fillId="10" borderId="85" xfId="0" applyFont="1" applyFill="1" applyBorder="1" applyAlignment="1">
      <alignment horizontal="center"/>
    </xf>
    <xf numFmtId="0" fontId="5" fillId="10" borderId="38" xfId="0" applyFont="1" applyFill="1" applyBorder="1" applyAlignment="1">
      <alignment horizontal="left"/>
    </xf>
    <xf numFmtId="0" fontId="5" fillId="10" borderId="44" xfId="0" applyFont="1" applyFill="1" applyBorder="1"/>
    <xf numFmtId="0" fontId="5" fillId="10" borderId="17" xfId="0" applyFont="1" applyFill="1" applyBorder="1" applyAlignment="1">
      <alignment horizontal="center"/>
    </xf>
    <xf numFmtId="0" fontId="5" fillId="10" borderId="91" xfId="0" applyFont="1" applyFill="1" applyBorder="1" applyAlignment="1">
      <alignment horizontal="left"/>
    </xf>
    <xf numFmtId="0" fontId="5" fillId="10" borderId="42" xfId="0" applyFont="1" applyFill="1" applyBorder="1" applyAlignment="1">
      <alignment horizontal="center"/>
    </xf>
    <xf numFmtId="0" fontId="5" fillId="10" borderId="90" xfId="0" applyFont="1" applyFill="1" applyBorder="1" applyAlignment="1">
      <alignment horizontal="center"/>
    </xf>
    <xf numFmtId="0" fontId="5" fillId="10" borderId="46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left"/>
    </xf>
    <xf numFmtId="0" fontId="5" fillId="10" borderId="38" xfId="0" applyFont="1" applyFill="1" applyBorder="1" applyAlignment="1">
      <alignment horizontal="center"/>
    </xf>
    <xf numFmtId="0" fontId="0" fillId="10" borderId="0" xfId="0" applyFill="1"/>
    <xf numFmtId="0" fontId="5" fillId="0" borderId="82" xfId="0" applyFont="1" applyBorder="1" applyAlignment="1">
      <alignment horizontal="center"/>
    </xf>
    <xf numFmtId="0" fontId="5" fillId="0" borderId="118" xfId="0" applyFont="1" applyBorder="1" applyAlignment="1">
      <alignment horizontal="left"/>
    </xf>
    <xf numFmtId="0" fontId="5" fillId="0" borderId="122" xfId="0" applyFont="1" applyBorder="1" applyAlignment="1">
      <alignment horizontal="center"/>
    </xf>
    <xf numFmtId="0" fontId="5" fillId="0" borderId="83" xfId="0" applyFont="1" applyBorder="1" applyAlignment="1">
      <alignment horizontal="left"/>
    </xf>
    <xf numFmtId="0" fontId="5" fillId="0" borderId="123" xfId="0" applyFont="1" applyBorder="1"/>
    <xf numFmtId="0" fontId="0" fillId="5" borderId="87" xfId="0" applyFill="1" applyBorder="1"/>
    <xf numFmtId="0" fontId="3" fillId="5" borderId="88" xfId="0" applyFont="1" applyFill="1" applyBorder="1"/>
    <xf numFmtId="0" fontId="0" fillId="0" borderId="35" xfId="0" applyBorder="1" applyAlignment="1">
      <alignment horizontal="center"/>
    </xf>
    <xf numFmtId="0" fontId="0" fillId="10" borderId="17" xfId="0" applyFill="1" applyBorder="1"/>
    <xf numFmtId="0" fontId="3" fillId="10" borderId="86" xfId="0" applyFont="1" applyFill="1" applyBorder="1"/>
    <xf numFmtId="0" fontId="0" fillId="10" borderId="85" xfId="0" applyFill="1" applyBorder="1" applyAlignment="1">
      <alignment horizontal="center"/>
    </xf>
    <xf numFmtId="0" fontId="0" fillId="10" borderId="17" xfId="0" applyFill="1" applyBorder="1" applyAlignment="1">
      <alignment horizontal="left"/>
    </xf>
    <xf numFmtId="0" fontId="3" fillId="0" borderId="99" xfId="0" applyFont="1" applyBorder="1"/>
    <xf numFmtId="0" fontId="5" fillId="0" borderId="97" xfId="0" applyFont="1" applyBorder="1"/>
    <xf numFmtId="0" fontId="0" fillId="5" borderId="128" xfId="0" applyFill="1" applyBorder="1"/>
    <xf numFmtId="0" fontId="5" fillId="0" borderId="96" xfId="0" applyFont="1" applyBorder="1" applyAlignment="1">
      <alignment horizontal="center"/>
    </xf>
    <xf numFmtId="0" fontId="0" fillId="0" borderId="113" xfId="0" applyBorder="1" applyAlignment="1">
      <alignment horizontal="center"/>
    </xf>
    <xf numFmtId="0" fontId="0" fillId="10" borderId="128" xfId="0" applyFill="1" applyBorder="1"/>
    <xf numFmtId="0" fontId="0" fillId="10" borderId="96" xfId="0" applyFill="1" applyBorder="1" applyAlignment="1">
      <alignment horizontal="center"/>
    </xf>
    <xf numFmtId="0" fontId="0" fillId="10" borderId="99" xfId="0" applyFill="1" applyBorder="1" applyAlignment="1">
      <alignment horizontal="left"/>
    </xf>
    <xf numFmtId="0" fontId="5" fillId="10" borderId="89" xfId="0" applyFont="1" applyFill="1" applyBorder="1"/>
    <xf numFmtId="0" fontId="5" fillId="0" borderId="84" xfId="0" applyFont="1" applyBorder="1"/>
    <xf numFmtId="0" fontId="5" fillId="0" borderId="92" xfId="0" applyFont="1" applyBorder="1"/>
    <xf numFmtId="0" fontId="5" fillId="0" borderId="122" xfId="0" applyFont="1" applyBorder="1"/>
    <xf numFmtId="0" fontId="5" fillId="0" borderId="117" xfId="0" applyFont="1" applyBorder="1" applyAlignment="1">
      <alignment horizontal="left"/>
    </xf>
    <xf numFmtId="0" fontId="5" fillId="0" borderId="117" xfId="0" applyFont="1" applyBorder="1" applyAlignment="1">
      <alignment horizontal="center"/>
    </xf>
    <xf numFmtId="0" fontId="5" fillId="4" borderId="122" xfId="0" applyFont="1" applyFill="1" applyBorder="1" applyAlignment="1">
      <alignment horizontal="center"/>
    </xf>
    <xf numFmtId="0" fontId="5" fillId="4" borderId="117" xfId="0" applyFont="1" applyFill="1" applyBorder="1" applyAlignment="1">
      <alignment horizontal="left"/>
    </xf>
    <xf numFmtId="0" fontId="5" fillId="4" borderId="118" xfId="0" applyFont="1" applyFill="1" applyBorder="1" applyAlignment="1">
      <alignment horizontal="left"/>
    </xf>
    <xf numFmtId="0" fontId="5" fillId="4" borderId="85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left"/>
    </xf>
    <xf numFmtId="0" fontId="5" fillId="4" borderId="86" xfId="0" applyFont="1" applyFill="1" applyBorder="1" applyAlignment="1">
      <alignment horizontal="left"/>
    </xf>
    <xf numFmtId="0" fontId="5" fillId="4" borderId="17" xfId="0" applyFont="1" applyFill="1" applyBorder="1"/>
    <xf numFmtId="0" fontId="5" fillId="4" borderId="17" xfId="0" applyFont="1" applyFill="1" applyBorder="1" applyAlignment="1">
      <alignment horizontal="center"/>
    </xf>
    <xf numFmtId="0" fontId="5" fillId="4" borderId="86" xfId="0" applyFont="1" applyFill="1" applyBorder="1"/>
    <xf numFmtId="0" fontId="5" fillId="0" borderId="89" xfId="0" applyFont="1" applyBorder="1" applyAlignment="1">
      <alignment horizontal="center"/>
    </xf>
    <xf numFmtId="0" fontId="2" fillId="0" borderId="89" xfId="0" applyFont="1" applyBorder="1"/>
    <xf numFmtId="0" fontId="5" fillId="4" borderId="44" xfId="0" applyFont="1" applyFill="1" applyBorder="1"/>
    <xf numFmtId="0" fontId="5" fillId="4" borderId="90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left"/>
    </xf>
    <xf numFmtId="0" fontId="5" fillId="4" borderId="91" xfId="0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5" fillId="0" borderId="123" xfId="0" applyFont="1" applyBorder="1" applyAlignment="1">
      <alignment horizontal="center"/>
    </xf>
    <xf numFmtId="14" fontId="5" fillId="0" borderId="89" xfId="0" applyNumberFormat="1" applyFont="1" applyBorder="1"/>
    <xf numFmtId="0" fontId="5" fillId="0" borderId="129" xfId="0" applyFont="1" applyBorder="1" applyAlignment="1">
      <alignment horizontal="center"/>
    </xf>
    <xf numFmtId="0" fontId="5" fillId="0" borderId="125" xfId="0" applyFont="1" applyBorder="1" applyAlignment="1">
      <alignment horizontal="center"/>
    </xf>
    <xf numFmtId="0" fontId="5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121" xfId="0" applyFont="1" applyBorder="1" applyAlignment="1">
      <alignment horizontal="left"/>
    </xf>
    <xf numFmtId="0" fontId="5" fillId="0" borderId="120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127" xfId="0" applyFont="1" applyBorder="1"/>
    <xf numFmtId="0" fontId="3" fillId="0" borderId="88" xfId="0" applyFont="1" applyBorder="1"/>
    <xf numFmtId="0" fontId="0" fillId="5" borderId="100" xfId="0" applyFill="1" applyBorder="1"/>
    <xf numFmtId="0" fontId="0" fillId="0" borderId="99" xfId="0" applyBorder="1" applyAlignment="1">
      <alignment horizontal="left"/>
    </xf>
    <xf numFmtId="0" fontId="0" fillId="0" borderId="100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19" fillId="0" borderId="5" xfId="0" applyFont="1" applyBorder="1"/>
    <xf numFmtId="0" fontId="8" fillId="0" borderId="0" xfId="1" applyFill="1" applyAlignment="1" applyProtection="1"/>
    <xf numFmtId="0" fontId="2" fillId="0" borderId="71" xfId="0" applyFont="1" applyBorder="1" applyAlignment="1">
      <alignment horizontal="center"/>
    </xf>
    <xf numFmtId="0" fontId="0" fillId="0" borderId="51" xfId="0" applyBorder="1"/>
    <xf numFmtId="0" fontId="0" fillId="0" borderId="74" xfId="0" applyBorder="1"/>
    <xf numFmtId="0" fontId="21" fillId="0" borderId="71" xfId="0" applyFont="1" applyBorder="1" applyAlignment="1">
      <alignment horizontal="center"/>
    </xf>
    <xf numFmtId="0" fontId="22" fillId="0" borderId="72" xfId="0" applyFont="1" applyBorder="1" applyAlignment="1">
      <alignment horizontal="left"/>
    </xf>
    <xf numFmtId="0" fontId="13" fillId="0" borderId="71" xfId="0" applyFont="1" applyBorder="1"/>
    <xf numFmtId="0" fontId="13" fillId="0" borderId="72" xfId="0" applyFont="1" applyBorder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2" fontId="23" fillId="0" borderId="0" xfId="0" applyNumberFormat="1" applyFont="1"/>
    <xf numFmtId="0" fontId="22" fillId="0" borderId="0" xfId="0" applyFont="1" applyAlignment="1">
      <alignment horizontal="right"/>
    </xf>
    <xf numFmtId="0" fontId="24" fillId="0" borderId="0" xfId="2"/>
    <xf numFmtId="0" fontId="24" fillId="0" borderId="0" xfId="2" applyAlignment="1">
      <alignment horizontal="center"/>
    </xf>
    <xf numFmtId="0" fontId="24" fillId="0" borderId="0" xfId="2" applyAlignment="1">
      <alignment horizontal="left"/>
    </xf>
    <xf numFmtId="0" fontId="5" fillId="0" borderId="52" xfId="2" applyFont="1" applyBorder="1"/>
    <xf numFmtId="0" fontId="2" fillId="0" borderId="70" xfId="2" applyFont="1" applyBorder="1"/>
    <xf numFmtId="0" fontId="5" fillId="0" borderId="0" xfId="2" applyFont="1"/>
    <xf numFmtId="165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66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6" fontId="30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66" fontId="28" fillId="0" borderId="0" xfId="0" applyNumberFormat="1" applyFont="1" applyAlignment="1">
      <alignment horizontal="right" vertical="center" wrapText="1"/>
    </xf>
    <xf numFmtId="165" fontId="29" fillId="0" borderId="0" xfId="0" applyNumberFormat="1" applyFont="1"/>
    <xf numFmtId="1" fontId="32" fillId="0" borderId="0" xfId="0" applyNumberFormat="1" applyFont="1" applyAlignment="1">
      <alignment horizontal="center" wrapText="1"/>
    </xf>
    <xf numFmtId="165" fontId="29" fillId="0" borderId="0" xfId="0" applyNumberFormat="1" applyFont="1" applyAlignment="1">
      <alignment horizontal="left"/>
    </xf>
    <xf numFmtId="0" fontId="32" fillId="0" borderId="0" xfId="0" applyFont="1" applyAlignment="1">
      <alignment horizontal="center" vertical="center"/>
    </xf>
    <xf numFmtId="166" fontId="29" fillId="0" borderId="0" xfId="0" applyNumberFormat="1" applyFont="1" applyAlignment="1">
      <alignment horizontal="right" vertical="center"/>
    </xf>
    <xf numFmtId="166" fontId="29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167" fontId="29" fillId="0" borderId="0" xfId="0" applyNumberFormat="1" applyFont="1"/>
    <xf numFmtId="166" fontId="29" fillId="0" borderId="0" xfId="0" applyNumberFormat="1" applyFont="1"/>
    <xf numFmtId="167" fontId="28" fillId="0" borderId="0" xfId="0" applyNumberFormat="1" applyFont="1"/>
    <xf numFmtId="1" fontId="32" fillId="0" borderId="0" xfId="0" applyNumberFormat="1" applyFont="1" applyAlignment="1">
      <alignment horizontal="center"/>
    </xf>
    <xf numFmtId="0" fontId="28" fillId="0" borderId="0" xfId="0" applyFont="1" applyAlignment="1">
      <alignment horizontal="right" vertical="center" wrapText="1"/>
    </xf>
    <xf numFmtId="0" fontId="33" fillId="0" borderId="0" xfId="0" applyFont="1"/>
    <xf numFmtId="0" fontId="27" fillId="0" borderId="0" xfId="0" applyFont="1" applyAlignment="1">
      <alignment horizontal="center"/>
    </xf>
    <xf numFmtId="166" fontId="27" fillId="0" borderId="0" xfId="0" applyNumberFormat="1" applyFont="1"/>
    <xf numFmtId="0" fontId="27" fillId="0" borderId="0" xfId="0" applyFont="1" applyAlignment="1">
      <alignment vertical="center" wrapText="1"/>
    </xf>
    <xf numFmtId="166" fontId="27" fillId="0" borderId="0" xfId="0" applyNumberFormat="1" applyFont="1" applyAlignment="1">
      <alignment vertical="center"/>
    </xf>
    <xf numFmtId="0" fontId="27" fillId="0" borderId="0" xfId="0" applyFont="1" applyAlignment="1">
      <alignment wrapText="1"/>
    </xf>
    <xf numFmtId="0" fontId="27" fillId="11" borderId="0" xfId="0" applyFont="1" applyFill="1" applyAlignment="1">
      <alignment horizontal="center"/>
    </xf>
    <xf numFmtId="166" fontId="27" fillId="11" borderId="0" xfId="0" applyNumberFormat="1" applyFont="1" applyFill="1"/>
    <xf numFmtId="166" fontId="27" fillId="9" borderId="0" xfId="0" applyNumberFormat="1" applyFont="1" applyFill="1"/>
    <xf numFmtId="0" fontId="27" fillId="0" borderId="0" xfId="0" applyFont="1" applyAlignment="1">
      <alignment horizontal="center" vertical="center"/>
    </xf>
    <xf numFmtId="166" fontId="34" fillId="9" borderId="0" xfId="0" applyNumberFormat="1" applyFont="1" applyFill="1" applyAlignment="1">
      <alignment horizontal="left"/>
    </xf>
    <xf numFmtId="166" fontId="27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 wrapText="1"/>
    </xf>
    <xf numFmtId="166" fontId="2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0" fontId="31" fillId="13" borderId="0" xfId="0" applyFont="1" applyFill="1" applyAlignment="1">
      <alignment horizontal="center"/>
    </xf>
    <xf numFmtId="166" fontId="31" fillId="13" borderId="0" xfId="0" applyNumberFormat="1" applyFont="1" applyFill="1"/>
    <xf numFmtId="0" fontId="27" fillId="13" borderId="0" xfId="0" applyFont="1" applyFill="1" applyAlignment="1">
      <alignment horizontal="center" vertical="center" wrapText="1"/>
    </xf>
    <xf numFmtId="166" fontId="31" fillId="13" borderId="0" xfId="0" applyNumberFormat="1" applyFont="1" applyFill="1" applyAlignment="1">
      <alignment horizontal="left"/>
    </xf>
    <xf numFmtId="166" fontId="27" fillId="13" borderId="0" xfId="0" applyNumberFormat="1" applyFont="1" applyFill="1"/>
    <xf numFmtId="0" fontId="27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166" fontId="27" fillId="13" borderId="0" xfId="0" applyNumberFormat="1" applyFont="1" applyFill="1" applyAlignment="1">
      <alignment horizontal="left"/>
    </xf>
    <xf numFmtId="0" fontId="27" fillId="13" borderId="0" xfId="0" applyFont="1" applyFill="1"/>
    <xf numFmtId="0" fontId="8" fillId="0" borderId="0" xfId="1" applyAlignment="1" applyProtection="1">
      <alignment horizontal="left"/>
    </xf>
    <xf numFmtId="0" fontId="0" fillId="0" borderId="60" xfId="0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2" xfId="0" applyBorder="1"/>
    <xf numFmtId="0" fontId="18" fillId="0" borderId="62" xfId="0" applyFont="1" applyBorder="1"/>
    <xf numFmtId="0" fontId="0" fillId="0" borderId="44" xfId="0" applyBorder="1" applyAlignment="1">
      <alignment horizontal="center"/>
    </xf>
    <xf numFmtId="0" fontId="0" fillId="0" borderId="58" xfId="0" applyBorder="1"/>
    <xf numFmtId="0" fontId="0" fillId="0" borderId="35" xfId="0" applyBorder="1"/>
    <xf numFmtId="0" fontId="0" fillId="0" borderId="59" xfId="0" applyBorder="1"/>
    <xf numFmtId="0" fontId="5" fillId="0" borderId="59" xfId="0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48" xfId="0" applyBorder="1"/>
    <xf numFmtId="0" fontId="0" fillId="0" borderId="22" xfId="0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0" fillId="0" borderId="46" xfId="0" applyBorder="1"/>
    <xf numFmtId="0" fontId="0" fillId="0" borderId="65" xfId="0" applyBorder="1"/>
    <xf numFmtId="0" fontId="0" fillId="0" borderId="59" xfId="0" applyBorder="1" applyAlignment="1">
      <alignment horizontal="center"/>
    </xf>
    <xf numFmtId="0" fontId="37" fillId="0" borderId="0" xfId="0" applyFont="1"/>
    <xf numFmtId="0" fontId="9" fillId="0" borderId="71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72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0" fontId="5" fillId="0" borderId="61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14" borderId="71" xfId="0" applyFill="1" applyBorder="1"/>
    <xf numFmtId="0" fontId="0" fillId="14" borderId="72" xfId="0" applyFill="1" applyBorder="1"/>
    <xf numFmtId="0" fontId="2" fillId="14" borderId="69" xfId="0" applyFont="1" applyFill="1" applyBorder="1" applyAlignment="1">
      <alignment horizontal="center"/>
    </xf>
    <xf numFmtId="0" fontId="0" fillId="14" borderId="55" xfId="0" applyFill="1" applyBorder="1" applyAlignment="1">
      <alignment horizontal="right"/>
    </xf>
    <xf numFmtId="0" fontId="0" fillId="14" borderId="55" xfId="0" applyFill="1" applyBorder="1"/>
    <xf numFmtId="0" fontId="0" fillId="14" borderId="70" xfId="0" applyFill="1" applyBorder="1" applyAlignment="1">
      <alignment horizontal="left"/>
    </xf>
    <xf numFmtId="0" fontId="2" fillId="14" borderId="55" xfId="0" applyFont="1" applyFill="1" applyBorder="1" applyAlignment="1">
      <alignment horizontal="center"/>
    </xf>
    <xf numFmtId="0" fontId="2" fillId="14" borderId="70" xfId="0" applyFont="1" applyFill="1" applyBorder="1" applyAlignment="1">
      <alignment horizontal="center"/>
    </xf>
    <xf numFmtId="0" fontId="2" fillId="14" borderId="7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2" fillId="14" borderId="72" xfId="0" applyFont="1" applyFill="1" applyBorder="1" applyAlignment="1">
      <alignment horizontal="center"/>
    </xf>
    <xf numFmtId="0" fontId="5" fillId="0" borderId="12" xfId="2" applyFont="1" applyBorder="1"/>
    <xf numFmtId="0" fontId="3" fillId="0" borderId="13" xfId="2" applyFont="1" applyBorder="1"/>
    <xf numFmtId="0" fontId="3" fillId="0" borderId="29" xfId="2" applyFont="1" applyBorder="1"/>
    <xf numFmtId="0" fontId="5" fillId="0" borderId="14" xfId="2" applyFont="1" applyBorder="1"/>
    <xf numFmtId="0" fontId="5" fillId="0" borderId="8" xfId="2" applyFont="1" applyBorder="1"/>
    <xf numFmtId="0" fontId="3" fillId="0" borderId="9" xfId="2" applyFont="1" applyBorder="1"/>
    <xf numFmtId="0" fontId="3" fillId="0" borderId="133" xfId="2" applyFont="1" applyBorder="1"/>
    <xf numFmtId="0" fontId="5" fillId="0" borderId="106" xfId="2" applyFont="1" applyBorder="1"/>
    <xf numFmtId="0" fontId="5" fillId="0" borderId="60" xfId="2" applyFont="1" applyBorder="1"/>
    <xf numFmtId="0" fontId="5" fillId="0" borderId="44" xfId="2" applyFont="1" applyBorder="1"/>
    <xf numFmtId="165" fontId="5" fillId="0" borderId="61" xfId="2" applyNumberFormat="1" applyFont="1" applyBorder="1"/>
    <xf numFmtId="0" fontId="5" fillId="0" borderId="35" xfId="2" applyFont="1" applyBorder="1" applyAlignment="1">
      <alignment horizontal="center"/>
    </xf>
    <xf numFmtId="0" fontId="5" fillId="0" borderId="17" xfId="2" applyFont="1" applyBorder="1"/>
    <xf numFmtId="0" fontId="5" fillId="0" borderId="18" xfId="2" applyFont="1" applyBorder="1" applyAlignment="1">
      <alignment horizontal="left"/>
    </xf>
    <xf numFmtId="0" fontId="5" fillId="0" borderId="45" xfId="2" applyFont="1" applyBorder="1"/>
    <xf numFmtId="0" fontId="5" fillId="0" borderId="61" xfId="2" applyFont="1" applyBorder="1" applyAlignment="1">
      <alignment horizontal="left"/>
    </xf>
    <xf numFmtId="0" fontId="5" fillId="0" borderId="107" xfId="2" applyFont="1" applyBorder="1"/>
    <xf numFmtId="0" fontId="5" fillId="0" borderId="16" xfId="2" applyFont="1" applyBorder="1"/>
    <xf numFmtId="165" fontId="5" fillId="0" borderId="18" xfId="2" applyNumberFormat="1" applyFont="1" applyBorder="1"/>
    <xf numFmtId="0" fontId="5" fillId="0" borderId="59" xfId="2" applyFont="1" applyBorder="1"/>
    <xf numFmtId="0" fontId="5" fillId="0" borderId="66" xfId="2" applyFont="1" applyBorder="1"/>
    <xf numFmtId="0" fontId="5" fillId="0" borderId="47" xfId="2" applyFont="1" applyBorder="1"/>
    <xf numFmtId="165" fontId="5" fillId="0" borderId="67" xfId="2" applyNumberFormat="1" applyFont="1" applyBorder="1"/>
    <xf numFmtId="0" fontId="5" fillId="0" borderId="68" xfId="2" applyFont="1" applyBorder="1" applyAlignment="1">
      <alignment horizontal="center"/>
    </xf>
    <xf numFmtId="0" fontId="5" fillId="0" borderId="67" xfId="2" applyFont="1" applyBorder="1" applyAlignment="1">
      <alignment horizontal="left"/>
    </xf>
    <xf numFmtId="0" fontId="5" fillId="0" borderId="108" xfId="2" applyFont="1" applyBorder="1"/>
    <xf numFmtId="0" fontId="5" fillId="0" borderId="120" xfId="0" applyFont="1" applyBorder="1"/>
    <xf numFmtId="0" fontId="5" fillId="0" borderId="44" xfId="0" applyFont="1" applyBorder="1" applyAlignment="1">
      <alignment horizontal="left"/>
    </xf>
    <xf numFmtId="0" fontId="5" fillId="0" borderId="42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19" fillId="0" borderId="0" xfId="0" applyFont="1"/>
    <xf numFmtId="0" fontId="0" fillId="15" borderId="0" xfId="0" applyFill="1"/>
    <xf numFmtId="0" fontId="0" fillId="15" borderId="0" xfId="0" applyFill="1" applyAlignment="1">
      <alignment horizontal="left"/>
    </xf>
    <xf numFmtId="166" fontId="0" fillId="15" borderId="0" xfId="0" applyNumberFormat="1" applyFill="1" applyAlignment="1">
      <alignment horizontal="right"/>
    </xf>
    <xf numFmtId="0" fontId="0" fillId="15" borderId="0" xfId="0" applyFill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0" fillId="16" borderId="71" xfId="0" applyFill="1" applyBorder="1"/>
    <xf numFmtId="0" fontId="22" fillId="16" borderId="0" xfId="0" applyFont="1" applyFill="1"/>
    <xf numFmtId="0" fontId="0" fillId="16" borderId="0" xfId="0" quotePrefix="1" applyFill="1"/>
    <xf numFmtId="0" fontId="0" fillId="16" borderId="72" xfId="0" applyFill="1" applyBorder="1" applyAlignment="1">
      <alignment horizontal="left"/>
    </xf>
    <xf numFmtId="0" fontId="0" fillId="16" borderId="72" xfId="0" applyFill="1" applyBorder="1"/>
    <xf numFmtId="0" fontId="0" fillId="16" borderId="0" xfId="0" applyFill="1"/>
    <xf numFmtId="0" fontId="0" fillId="16" borderId="0" xfId="0" applyFill="1" applyAlignment="1">
      <alignment horizontal="right"/>
    </xf>
    <xf numFmtId="0" fontId="5" fillId="17" borderId="12" xfId="0" applyFont="1" applyFill="1" applyBorder="1" applyAlignment="1">
      <alignment horizontal="center"/>
    </xf>
    <xf numFmtId="0" fontId="5" fillId="17" borderId="13" xfId="0" applyFont="1" applyFill="1" applyBorder="1" applyAlignment="1">
      <alignment horizontal="right"/>
    </xf>
    <xf numFmtId="0" fontId="5" fillId="17" borderId="13" xfId="0" applyFont="1" applyFill="1" applyBorder="1" applyAlignment="1">
      <alignment horizontal="center"/>
    </xf>
    <xf numFmtId="0" fontId="5" fillId="17" borderId="29" xfId="0" applyFont="1" applyFill="1" applyBorder="1" applyAlignment="1">
      <alignment horizontal="left"/>
    </xf>
    <xf numFmtId="0" fontId="5" fillId="17" borderId="13" xfId="0" applyFont="1" applyFill="1" applyBorder="1"/>
    <xf numFmtId="0" fontId="5" fillId="17" borderId="14" xfId="0" applyFont="1" applyFill="1" applyBorder="1" applyAlignment="1">
      <alignment horizontal="left"/>
    </xf>
    <xf numFmtId="0" fontId="5" fillId="17" borderId="31" xfId="0" applyFont="1" applyFill="1" applyBorder="1" applyAlignment="1">
      <alignment horizontal="right"/>
    </xf>
    <xf numFmtId="0" fontId="5" fillId="17" borderId="30" xfId="0" applyFont="1" applyFill="1" applyBorder="1" applyAlignment="1">
      <alignment horizontal="left"/>
    </xf>
    <xf numFmtId="0" fontId="5" fillId="17" borderId="32" xfId="0" applyFont="1" applyFill="1" applyBorder="1"/>
    <xf numFmtId="0" fontId="5" fillId="17" borderId="16" xfId="0" applyFont="1" applyFill="1" applyBorder="1" applyAlignment="1">
      <alignment horizontal="center"/>
    </xf>
    <xf numFmtId="0" fontId="5" fillId="17" borderId="17" xfId="0" applyFont="1" applyFill="1" applyBorder="1" applyAlignment="1">
      <alignment horizontal="right"/>
    </xf>
    <xf numFmtId="0" fontId="5" fillId="17" borderId="17" xfId="0" applyFont="1" applyFill="1" applyBorder="1" applyAlignment="1">
      <alignment horizontal="center"/>
    </xf>
    <xf numFmtId="0" fontId="5" fillId="17" borderId="33" xfId="0" applyFont="1" applyFill="1" applyBorder="1" applyAlignment="1">
      <alignment horizontal="left"/>
    </xf>
    <xf numFmtId="0" fontId="5" fillId="17" borderId="17" xfId="0" applyFont="1" applyFill="1" applyBorder="1"/>
    <xf numFmtId="0" fontId="5" fillId="17" borderId="18" xfId="0" applyFont="1" applyFill="1" applyBorder="1" applyAlignment="1">
      <alignment horizontal="left"/>
    </xf>
    <xf numFmtId="0" fontId="5" fillId="17" borderId="35" xfId="0" applyFont="1" applyFill="1" applyBorder="1" applyAlignment="1">
      <alignment horizontal="right"/>
    </xf>
    <xf numFmtId="0" fontId="5" fillId="17" borderId="34" xfId="0" applyFont="1" applyFill="1" applyBorder="1" applyAlignment="1">
      <alignment horizontal="left"/>
    </xf>
    <xf numFmtId="0" fontId="5" fillId="17" borderId="36" xfId="0" applyFont="1" applyFill="1" applyBorder="1"/>
    <xf numFmtId="164" fontId="5" fillId="17" borderId="17" xfId="0" applyNumberFormat="1" applyFont="1" applyFill="1" applyBorder="1"/>
    <xf numFmtId="164" fontId="5" fillId="17" borderId="33" xfId="0" applyNumberFormat="1" applyFont="1" applyFill="1" applyBorder="1" applyAlignment="1">
      <alignment horizontal="left"/>
    </xf>
    <xf numFmtId="0" fontId="5" fillId="17" borderId="0" xfId="0" applyFont="1" applyFill="1" applyAlignment="1">
      <alignment horizontal="right"/>
    </xf>
    <xf numFmtId="0" fontId="6" fillId="17" borderId="36" xfId="0" applyFont="1" applyFill="1" applyBorder="1"/>
    <xf numFmtId="0" fontId="5" fillId="17" borderId="37" xfId="0" applyFont="1" applyFill="1" applyBorder="1" applyAlignment="1">
      <alignment horizontal="center"/>
    </xf>
    <xf numFmtId="0" fontId="5" fillId="17" borderId="38" xfId="0" applyFont="1" applyFill="1" applyBorder="1" applyAlignment="1">
      <alignment horizontal="right"/>
    </xf>
    <xf numFmtId="0" fontId="5" fillId="17" borderId="38" xfId="0" applyFont="1" applyFill="1" applyBorder="1" applyAlignment="1">
      <alignment horizontal="center"/>
    </xf>
    <xf numFmtId="0" fontId="5" fillId="17" borderId="39" xfId="0" applyFont="1" applyFill="1" applyBorder="1" applyAlignment="1">
      <alignment horizontal="left"/>
    </xf>
    <xf numFmtId="0" fontId="5" fillId="17" borderId="38" xfId="0" applyFont="1" applyFill="1" applyBorder="1"/>
    <xf numFmtId="0" fontId="5" fillId="17" borderId="40" xfId="0" applyFont="1" applyFill="1" applyBorder="1" applyAlignment="1">
      <alignment horizontal="left"/>
    </xf>
    <xf numFmtId="0" fontId="5" fillId="17" borderId="42" xfId="0" applyFont="1" applyFill="1" applyBorder="1" applyAlignment="1">
      <alignment horizontal="right"/>
    </xf>
    <xf numFmtId="0" fontId="5" fillId="17" borderId="41" xfId="0" applyFont="1" applyFill="1" applyBorder="1" applyAlignment="1">
      <alignment horizontal="left"/>
    </xf>
    <xf numFmtId="0" fontId="5" fillId="17" borderId="43" xfId="0" applyFont="1" applyFill="1" applyBorder="1"/>
    <xf numFmtId="0" fontId="5" fillId="17" borderId="2" xfId="0" applyFont="1" applyFill="1" applyBorder="1" applyAlignment="1">
      <alignment horizontal="right"/>
    </xf>
    <xf numFmtId="0" fontId="5" fillId="17" borderId="44" xfId="0" applyFont="1" applyFill="1" applyBorder="1" applyAlignment="1">
      <alignment horizontal="right"/>
    </xf>
    <xf numFmtId="0" fontId="5" fillId="17" borderId="47" xfId="0" applyFont="1" applyFill="1" applyBorder="1" applyAlignment="1">
      <alignment horizontal="right"/>
    </xf>
    <xf numFmtId="0" fontId="5" fillId="17" borderId="21" xfId="0" applyFont="1" applyFill="1" applyBorder="1" applyAlignment="1">
      <alignment horizontal="center"/>
    </xf>
    <xf numFmtId="0" fontId="5" fillId="17" borderId="48" xfId="0" applyFont="1" applyFill="1" applyBorder="1" applyAlignment="1">
      <alignment horizontal="left"/>
    </xf>
    <xf numFmtId="0" fontId="5" fillId="17" borderId="20" xfId="0" applyFont="1" applyFill="1" applyBorder="1" applyAlignment="1">
      <alignment horizontal="center"/>
    </xf>
    <xf numFmtId="0" fontId="5" fillId="17" borderId="21" xfId="0" applyFont="1" applyFill="1" applyBorder="1"/>
    <xf numFmtId="0" fontId="5" fillId="17" borderId="22" xfId="0" applyFont="1" applyFill="1" applyBorder="1" applyAlignment="1">
      <alignment horizontal="left"/>
    </xf>
    <xf numFmtId="0" fontId="5" fillId="17" borderId="46" xfId="0" applyFont="1" applyFill="1" applyBorder="1" applyAlignment="1">
      <alignment horizontal="right"/>
    </xf>
    <xf numFmtId="0" fontId="5" fillId="17" borderId="49" xfId="0" applyFont="1" applyFill="1" applyBorder="1" applyAlignment="1">
      <alignment horizontal="left"/>
    </xf>
    <xf numFmtId="0" fontId="5" fillId="17" borderId="50" xfId="0" applyFont="1" applyFill="1" applyBorder="1"/>
    <xf numFmtId="0" fontId="0" fillId="16" borderId="20" xfId="0" applyFill="1" applyBorder="1"/>
    <xf numFmtId="0" fontId="0" fillId="16" borderId="21" xfId="0" applyFill="1" applyBorder="1"/>
    <xf numFmtId="0" fontId="0" fillId="16" borderId="21" xfId="0" applyFill="1" applyBorder="1" applyAlignment="1">
      <alignment horizontal="center"/>
    </xf>
    <xf numFmtId="0" fontId="0" fillId="16" borderId="22" xfId="0" applyFill="1" applyBorder="1"/>
    <xf numFmtId="0" fontId="0" fillId="16" borderId="20" xfId="0" applyFill="1" applyBorder="1" applyAlignment="1">
      <alignment horizontal="center"/>
    </xf>
    <xf numFmtId="0" fontId="0" fillId="16" borderId="22" xfId="0" applyFill="1" applyBorder="1" applyAlignment="1">
      <alignment horizontal="left"/>
    </xf>
    <xf numFmtId="0" fontId="0" fillId="16" borderId="23" xfId="0" applyFill="1" applyBorder="1"/>
    <xf numFmtId="0" fontId="0" fillId="16" borderId="16" xfId="0" applyFill="1" applyBorder="1"/>
    <xf numFmtId="0" fontId="0" fillId="16" borderId="17" xfId="0" applyFill="1" applyBorder="1"/>
    <xf numFmtId="0" fontId="0" fillId="16" borderId="17" xfId="0" applyFill="1" applyBorder="1" applyAlignment="1">
      <alignment horizontal="center"/>
    </xf>
    <xf numFmtId="0" fontId="0" fillId="16" borderId="18" xfId="0" applyFill="1" applyBorder="1"/>
    <xf numFmtId="0" fontId="0" fillId="16" borderId="16" xfId="0" applyFill="1" applyBorder="1" applyAlignment="1">
      <alignment horizontal="center"/>
    </xf>
    <xf numFmtId="0" fontId="0" fillId="16" borderId="18" xfId="0" applyFill="1" applyBorder="1" applyAlignment="1">
      <alignment horizontal="left"/>
    </xf>
    <xf numFmtId="0" fontId="0" fillId="16" borderId="19" xfId="0" applyFill="1" applyBorder="1"/>
    <xf numFmtId="0" fontId="4" fillId="16" borderId="19" xfId="0" applyFont="1" applyFill="1" applyBorder="1"/>
    <xf numFmtId="0" fontId="0" fillId="16" borderId="85" xfId="0" applyFill="1" applyBorder="1" applyAlignment="1">
      <alignment horizontal="center"/>
    </xf>
    <xf numFmtId="14" fontId="0" fillId="16" borderId="89" xfId="0" applyNumberFormat="1" applyFill="1" applyBorder="1" applyAlignment="1">
      <alignment horizontal="left"/>
    </xf>
    <xf numFmtId="0" fontId="0" fillId="16" borderId="89" xfId="0" applyFill="1" applyBorder="1" applyAlignment="1">
      <alignment horizontal="left"/>
    </xf>
    <xf numFmtId="0" fontId="38" fillId="16" borderId="89" xfId="0" applyFont="1" applyFill="1" applyBorder="1"/>
    <xf numFmtId="0" fontId="0" fillId="16" borderId="86" xfId="0" applyFill="1" applyBorder="1"/>
    <xf numFmtId="0" fontId="0" fillId="16" borderId="87" xfId="0" applyFill="1" applyBorder="1"/>
    <xf numFmtId="0" fontId="0" fillId="16" borderId="87" xfId="0" applyFill="1" applyBorder="1" applyAlignment="1">
      <alignment horizontal="center"/>
    </xf>
    <xf numFmtId="0" fontId="0" fillId="16" borderId="88" xfId="0" applyFill="1" applyBorder="1" applyAlignment="1">
      <alignment horizontal="left"/>
    </xf>
    <xf numFmtId="0" fontId="0" fillId="16" borderId="86" xfId="0" applyFill="1" applyBorder="1" applyAlignment="1">
      <alignment horizontal="left"/>
    </xf>
    <xf numFmtId="0" fontId="5" fillId="16" borderId="85" xfId="0" applyFont="1" applyFill="1" applyBorder="1"/>
    <xf numFmtId="0" fontId="0" fillId="16" borderId="38" xfId="0" applyFill="1" applyBorder="1"/>
    <xf numFmtId="0" fontId="0" fillId="16" borderId="91" xfId="0" applyFill="1" applyBorder="1"/>
    <xf numFmtId="0" fontId="0" fillId="16" borderId="90" xfId="0" applyFill="1" applyBorder="1" applyAlignment="1">
      <alignment horizontal="center"/>
    </xf>
    <xf numFmtId="0" fontId="0" fillId="16" borderId="38" xfId="0" applyFill="1" applyBorder="1" applyAlignment="1">
      <alignment horizontal="center"/>
    </xf>
    <xf numFmtId="0" fontId="0" fillId="16" borderId="91" xfId="0" applyFill="1" applyBorder="1" applyAlignment="1">
      <alignment horizontal="left"/>
    </xf>
    <xf numFmtId="0" fontId="0" fillId="16" borderId="17" xfId="0" applyFill="1" applyBorder="1" applyAlignment="1">
      <alignment horizontal="right"/>
    </xf>
    <xf numFmtId="0" fontId="0" fillId="16" borderId="86" xfId="0" applyFill="1" applyBorder="1" applyAlignment="1">
      <alignment horizontal="right"/>
    </xf>
    <xf numFmtId="0" fontId="0" fillId="16" borderId="89" xfId="0" applyFill="1" applyBorder="1"/>
    <xf numFmtId="14" fontId="0" fillId="16" borderId="89" xfId="0" applyNumberFormat="1" applyFill="1" applyBorder="1"/>
    <xf numFmtId="0" fontId="0" fillId="0" borderId="86" xfId="0" applyBorder="1"/>
    <xf numFmtId="0" fontId="5" fillId="16" borderId="44" xfId="0" applyFont="1" applyFill="1" applyBorder="1"/>
    <xf numFmtId="0" fontId="5" fillId="16" borderId="17" xfId="0" applyFont="1" applyFill="1" applyBorder="1"/>
    <xf numFmtId="0" fontId="5" fillId="16" borderId="85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5" fillId="16" borderId="86" xfId="0" applyFont="1" applyFill="1" applyBorder="1"/>
    <xf numFmtId="0" fontId="5" fillId="16" borderId="86" xfId="0" applyFont="1" applyFill="1" applyBorder="1" applyAlignment="1">
      <alignment horizontal="left"/>
    </xf>
    <xf numFmtId="164" fontId="5" fillId="16" borderId="17" xfId="0" applyNumberFormat="1" applyFont="1" applyFill="1" applyBorder="1" applyAlignment="1">
      <alignment horizontal="left"/>
    </xf>
    <xf numFmtId="0" fontId="5" fillId="16" borderId="17" xfId="0" applyFont="1" applyFill="1" applyBorder="1" applyAlignment="1">
      <alignment horizontal="left"/>
    </xf>
    <xf numFmtId="0" fontId="5" fillId="16" borderId="33" xfId="0" applyFont="1" applyFill="1" applyBorder="1" applyAlignment="1">
      <alignment horizontal="left"/>
    </xf>
    <xf numFmtId="0" fontId="5" fillId="16" borderId="45" xfId="0" applyFont="1" applyFill="1" applyBorder="1" applyAlignment="1">
      <alignment horizontal="center"/>
    </xf>
    <xf numFmtId="164" fontId="5" fillId="16" borderId="17" xfId="0" applyNumberFormat="1" applyFont="1" applyFill="1" applyBorder="1"/>
    <xf numFmtId="0" fontId="5" fillId="16" borderId="33" xfId="0" applyFont="1" applyFill="1" applyBorder="1"/>
    <xf numFmtId="0" fontId="5" fillId="16" borderId="59" xfId="0" applyFont="1" applyFill="1" applyBorder="1" applyAlignment="1">
      <alignment horizontal="center"/>
    </xf>
    <xf numFmtId="0" fontId="5" fillId="16" borderId="45" xfId="0" applyFont="1" applyFill="1" applyBorder="1"/>
    <xf numFmtId="0" fontId="2" fillId="16" borderId="45" xfId="0" applyFont="1" applyFill="1" applyBorder="1" applyAlignment="1">
      <alignment horizontal="center"/>
    </xf>
    <xf numFmtId="0" fontId="2" fillId="16" borderId="45" xfId="0" applyFont="1" applyFill="1" applyBorder="1"/>
    <xf numFmtId="0" fontId="5" fillId="16" borderId="45" xfId="0" applyFont="1" applyFill="1" applyBorder="1" applyAlignment="1">
      <alignment horizontal="left"/>
    </xf>
    <xf numFmtId="0" fontId="2" fillId="16" borderId="45" xfId="0" applyFont="1" applyFill="1" applyBorder="1" applyAlignment="1">
      <alignment horizontal="left"/>
    </xf>
    <xf numFmtId="14" fontId="5" fillId="16" borderId="45" xfId="0" applyNumberFormat="1" applyFont="1" applyFill="1" applyBorder="1" applyAlignment="1">
      <alignment horizontal="left"/>
    </xf>
    <xf numFmtId="0" fontId="5" fillId="16" borderId="89" xfId="0" applyFont="1" applyFill="1" applyBorder="1"/>
    <xf numFmtId="14" fontId="5" fillId="16" borderId="89" xfId="0" applyNumberFormat="1" applyFont="1" applyFill="1" applyBorder="1"/>
    <xf numFmtId="0" fontId="5" fillId="16" borderId="109" xfId="0" applyFont="1" applyFill="1" applyBorder="1" applyAlignment="1">
      <alignment horizontal="center"/>
    </xf>
    <xf numFmtId="0" fontId="5" fillId="16" borderId="110" xfId="0" applyFont="1" applyFill="1" applyBorder="1" applyAlignment="1">
      <alignment horizontal="center"/>
    </xf>
    <xf numFmtId="0" fontId="3" fillId="16" borderId="17" xfId="0" applyFont="1" applyFill="1" applyBorder="1"/>
    <xf numFmtId="0" fontId="3" fillId="16" borderId="86" xfId="0" applyFont="1" applyFill="1" applyBorder="1"/>
    <xf numFmtId="0" fontId="5" fillId="16" borderId="90" xfId="0" applyFont="1" applyFill="1" applyBorder="1"/>
    <xf numFmtId="0" fontId="5" fillId="16" borderId="38" xfId="0" applyFont="1" applyFill="1" applyBorder="1"/>
    <xf numFmtId="0" fontId="5" fillId="16" borderId="38" xfId="0" applyFont="1" applyFill="1" applyBorder="1" applyAlignment="1">
      <alignment horizontal="center"/>
    </xf>
    <xf numFmtId="0" fontId="5" fillId="16" borderId="90" xfId="0" applyFont="1" applyFill="1" applyBorder="1" applyAlignment="1">
      <alignment horizontal="center"/>
    </xf>
    <xf numFmtId="164" fontId="5" fillId="16" borderId="38" xfId="0" applyNumberFormat="1" applyFont="1" applyFill="1" applyBorder="1" applyAlignment="1">
      <alignment horizontal="left"/>
    </xf>
    <xf numFmtId="0" fontId="5" fillId="16" borderId="38" xfId="0" applyFont="1" applyFill="1" applyBorder="1" applyAlignment="1">
      <alignment horizontal="left"/>
    </xf>
    <xf numFmtId="0" fontId="5" fillId="16" borderId="91" xfId="0" applyFont="1" applyFill="1" applyBorder="1" applyAlignment="1">
      <alignment horizontal="left"/>
    </xf>
    <xf numFmtId="0" fontId="5" fillId="16" borderId="89" xfId="0" applyFont="1" applyFill="1" applyBorder="1" applyAlignment="1">
      <alignment horizontal="left"/>
    </xf>
    <xf numFmtId="14" fontId="5" fillId="16" borderId="89" xfId="0" applyNumberFormat="1" applyFont="1" applyFill="1" applyBorder="1" applyAlignment="1">
      <alignment horizontal="left"/>
    </xf>
    <xf numFmtId="0" fontId="5" fillId="16" borderId="92" xfId="0" applyFont="1" applyFill="1" applyBorder="1"/>
    <xf numFmtId="0" fontId="5" fillId="16" borderId="82" xfId="0" applyFont="1" applyFill="1" applyBorder="1"/>
    <xf numFmtId="0" fontId="5" fillId="16" borderId="82" xfId="0" applyFont="1" applyFill="1" applyBorder="1" applyAlignment="1">
      <alignment horizontal="center"/>
    </xf>
    <xf numFmtId="0" fontId="5" fillId="16" borderId="44" xfId="0" applyFont="1" applyFill="1" applyBorder="1" applyAlignment="1">
      <alignment horizontal="center"/>
    </xf>
    <xf numFmtId="0" fontId="5" fillId="16" borderId="117" xfId="0" applyFont="1" applyFill="1" applyBorder="1"/>
    <xf numFmtId="0" fontId="5" fillId="16" borderId="118" xfId="0" applyFont="1" applyFill="1" applyBorder="1" applyAlignment="1">
      <alignment horizontal="left"/>
    </xf>
    <xf numFmtId="0" fontId="5" fillId="16" borderId="122" xfId="0" applyFont="1" applyFill="1" applyBorder="1" applyAlignment="1">
      <alignment horizontal="center"/>
    </xf>
    <xf numFmtId="0" fontId="5" fillId="16" borderId="83" xfId="0" applyFont="1" applyFill="1" applyBorder="1" applyAlignment="1">
      <alignment horizontal="left"/>
    </xf>
    <xf numFmtId="0" fontId="5" fillId="16" borderId="119" xfId="0" applyFont="1" applyFill="1" applyBorder="1" applyAlignment="1">
      <alignment horizontal="center"/>
    </xf>
    <xf numFmtId="0" fontId="5" fillId="16" borderId="117" xfId="0" applyFont="1" applyFill="1" applyBorder="1" applyAlignment="1">
      <alignment horizontal="left"/>
    </xf>
    <xf numFmtId="0" fontId="5" fillId="16" borderId="44" xfId="0" applyFont="1" applyFill="1" applyBorder="1" applyAlignment="1">
      <alignment horizontal="left"/>
    </xf>
    <xf numFmtId="0" fontId="5" fillId="16" borderId="123" xfId="0" applyFont="1" applyFill="1" applyBorder="1"/>
    <xf numFmtId="0" fontId="5" fillId="16" borderId="35" xfId="0" applyFont="1" applyFill="1" applyBorder="1" applyAlignment="1">
      <alignment horizontal="center"/>
    </xf>
    <xf numFmtId="0" fontId="5" fillId="16" borderId="120" xfId="0" applyFont="1" applyFill="1" applyBorder="1"/>
    <xf numFmtId="0" fontId="5" fillId="16" borderId="21" xfId="0" applyFont="1" applyFill="1" applyBorder="1"/>
    <xf numFmtId="0" fontId="5" fillId="16" borderId="120" xfId="0" applyFont="1" applyFill="1" applyBorder="1" applyAlignment="1">
      <alignment horizontal="center"/>
    </xf>
    <xf numFmtId="0" fontId="5" fillId="16" borderId="21" xfId="0" applyFont="1" applyFill="1" applyBorder="1" applyAlignment="1">
      <alignment horizontal="center"/>
    </xf>
    <xf numFmtId="0" fontId="5" fillId="16" borderId="121" xfId="0" applyFont="1" applyFill="1" applyBorder="1" applyAlignment="1">
      <alignment horizontal="left"/>
    </xf>
    <xf numFmtId="0" fontId="5" fillId="16" borderId="42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6" borderId="0" xfId="0" applyFill="1" applyAlignment="1">
      <alignment horizontal="left"/>
    </xf>
    <xf numFmtId="0" fontId="5" fillId="16" borderId="21" xfId="0" applyFont="1" applyFill="1" applyBorder="1" applyAlignment="1">
      <alignment horizontal="left"/>
    </xf>
    <xf numFmtId="0" fontId="5" fillId="16" borderId="2" xfId="0" applyFont="1" applyFill="1" applyBorder="1"/>
    <xf numFmtId="0" fontId="5" fillId="16" borderId="91" xfId="0" applyFont="1" applyFill="1" applyBorder="1"/>
    <xf numFmtId="0" fontId="0" fillId="16" borderId="41" xfId="0" applyFill="1" applyBorder="1" applyAlignment="1">
      <alignment horizontal="center"/>
    </xf>
    <xf numFmtId="0" fontId="5" fillId="16" borderId="121" xfId="0" applyFont="1" applyFill="1" applyBorder="1"/>
    <xf numFmtId="0" fontId="5" fillId="16" borderId="101" xfId="0" applyFont="1" applyFill="1" applyBorder="1"/>
    <xf numFmtId="0" fontId="0" fillId="16" borderId="84" xfId="0" applyFill="1" applyBorder="1"/>
    <xf numFmtId="0" fontId="5" fillId="16" borderId="89" xfId="0" applyFont="1" applyFill="1" applyBorder="1" applyAlignment="1">
      <alignment horizontal="center"/>
    </xf>
    <xf numFmtId="14" fontId="5" fillId="16" borderId="89" xfId="0" applyNumberFormat="1" applyFont="1" applyFill="1" applyBorder="1" applyAlignment="1">
      <alignment horizontal="center"/>
    </xf>
    <xf numFmtId="0" fontId="5" fillId="16" borderId="125" xfId="0" applyFont="1" applyFill="1" applyBorder="1" applyAlignment="1">
      <alignment horizontal="center"/>
    </xf>
    <xf numFmtId="0" fontId="5" fillId="16" borderId="48" xfId="0" applyFont="1" applyFill="1" applyBorder="1"/>
    <xf numFmtId="0" fontId="0" fillId="16" borderId="120" xfId="0" applyFill="1" applyBorder="1"/>
    <xf numFmtId="0" fontId="5" fillId="16" borderId="46" xfId="0" applyFont="1" applyFill="1" applyBorder="1" applyAlignment="1">
      <alignment horizontal="center"/>
    </xf>
    <xf numFmtId="0" fontId="5" fillId="16" borderId="126" xfId="0" applyFont="1" applyFill="1" applyBorder="1" applyAlignment="1">
      <alignment horizontal="center"/>
    </xf>
    <xf numFmtId="0" fontId="5" fillId="16" borderId="127" xfId="0" applyFont="1" applyFill="1" applyBorder="1"/>
    <xf numFmtId="0" fontId="5" fillId="16" borderId="84" xfId="0" applyFont="1" applyFill="1" applyBorder="1"/>
    <xf numFmtId="0" fontId="5" fillId="16" borderId="87" xfId="0" applyFont="1" applyFill="1" applyBorder="1" applyAlignment="1">
      <alignment horizontal="left"/>
    </xf>
    <xf numFmtId="0" fontId="5" fillId="16" borderId="88" xfId="0" applyFont="1" applyFill="1" applyBorder="1" applyAlignment="1">
      <alignment horizontal="left"/>
    </xf>
    <xf numFmtId="0" fontId="39" fillId="16" borderId="89" xfId="0" applyFont="1" applyFill="1" applyBorder="1"/>
    <xf numFmtId="0" fontId="5" fillId="16" borderId="47" xfId="0" applyFont="1" applyFill="1" applyBorder="1" applyAlignment="1">
      <alignment horizontal="left"/>
    </xf>
    <xf numFmtId="0" fontId="5" fillId="16" borderId="124" xfId="0" applyFont="1" applyFill="1" applyBorder="1" applyAlignment="1">
      <alignment horizontal="left"/>
    </xf>
    <xf numFmtId="14" fontId="5" fillId="16" borderId="84" xfId="0" applyNumberFormat="1" applyFont="1" applyFill="1" applyBorder="1" applyAlignment="1">
      <alignment horizontal="center"/>
    </xf>
    <xf numFmtId="0" fontId="5" fillId="16" borderId="0" xfId="0" applyFont="1" applyFill="1" applyAlignment="1">
      <alignment horizontal="center"/>
    </xf>
    <xf numFmtId="0" fontId="5" fillId="16" borderId="0" xfId="0" applyFont="1" applyFill="1" applyAlignment="1">
      <alignment horizontal="left"/>
    </xf>
    <xf numFmtId="0" fontId="2" fillId="16" borderId="92" xfId="0" applyFont="1" applyFill="1" applyBorder="1" applyAlignment="1">
      <alignment horizontal="center"/>
    </xf>
    <xf numFmtId="14" fontId="5" fillId="16" borderId="123" xfId="0" applyNumberFormat="1" applyFont="1" applyFill="1" applyBorder="1" applyAlignment="1">
      <alignment horizontal="center"/>
    </xf>
    <xf numFmtId="0" fontId="2" fillId="16" borderId="89" xfId="0" applyFont="1" applyFill="1" applyBorder="1" applyAlignment="1">
      <alignment horizontal="center"/>
    </xf>
    <xf numFmtId="0" fontId="3" fillId="16" borderId="118" xfId="0" applyFont="1" applyFill="1" applyBorder="1" applyAlignment="1">
      <alignment horizontal="left"/>
    </xf>
    <xf numFmtId="0" fontId="5" fillId="16" borderId="131" xfId="0" applyFont="1" applyFill="1" applyBorder="1"/>
    <xf numFmtId="0" fontId="5" fillId="16" borderId="83" xfId="0" applyFont="1" applyFill="1" applyBorder="1"/>
    <xf numFmtId="0" fontId="3" fillId="16" borderId="17" xfId="0" applyFont="1" applyFill="1" applyBorder="1" applyAlignment="1">
      <alignment horizontal="left"/>
    </xf>
    <xf numFmtId="0" fontId="3" fillId="16" borderId="86" xfId="0" applyFont="1" applyFill="1" applyBorder="1" applyAlignment="1">
      <alignment horizontal="left"/>
    </xf>
    <xf numFmtId="0" fontId="0" fillId="16" borderId="35" xfId="0" applyFill="1" applyBorder="1" applyAlignment="1">
      <alignment horizontal="center"/>
    </xf>
    <xf numFmtId="0" fontId="0" fillId="16" borderId="17" xfId="0" applyFill="1" applyBorder="1" applyAlignment="1">
      <alignment horizontal="left"/>
    </xf>
    <xf numFmtId="14" fontId="0" fillId="16" borderId="89" xfId="0" applyNumberFormat="1" applyFill="1" applyBorder="1" applyAlignment="1">
      <alignment horizontal="center"/>
    </xf>
    <xf numFmtId="0" fontId="5" fillId="16" borderId="96" xfId="0" applyFont="1" applyFill="1" applyBorder="1" applyAlignment="1">
      <alignment horizontal="center"/>
    </xf>
    <xf numFmtId="0" fontId="5" fillId="16" borderId="99" xfId="0" applyFont="1" applyFill="1" applyBorder="1"/>
    <xf numFmtId="0" fontId="5" fillId="16" borderId="100" xfId="0" applyFont="1" applyFill="1" applyBorder="1" applyAlignment="1">
      <alignment horizontal="left"/>
    </xf>
    <xf numFmtId="0" fontId="0" fillId="16" borderId="42" xfId="0" applyFill="1" applyBorder="1" applyAlignment="1">
      <alignment horizontal="center"/>
    </xf>
    <xf numFmtId="0" fontId="0" fillId="16" borderId="92" xfId="0" applyFill="1" applyBorder="1"/>
    <xf numFmtId="0" fontId="0" fillId="16" borderId="119" xfId="0" applyFill="1" applyBorder="1" applyAlignment="1">
      <alignment horizontal="center"/>
    </xf>
    <xf numFmtId="0" fontId="0" fillId="16" borderId="122" xfId="0" applyFill="1" applyBorder="1" applyAlignment="1">
      <alignment horizontal="center"/>
    </xf>
    <xf numFmtId="0" fontId="0" fillId="16" borderId="117" xfId="0" applyFill="1" applyBorder="1" applyAlignment="1">
      <alignment horizontal="left"/>
    </xf>
    <xf numFmtId="0" fontId="0" fillId="16" borderId="118" xfId="0" applyFill="1" applyBorder="1" applyAlignment="1">
      <alignment horizontal="left"/>
    </xf>
    <xf numFmtId="0" fontId="0" fillId="16" borderId="123" xfId="0" applyFill="1" applyBorder="1"/>
    <xf numFmtId="0" fontId="0" fillId="16" borderId="38" xfId="0" applyFill="1" applyBorder="1" applyAlignment="1">
      <alignment horizontal="left"/>
    </xf>
    <xf numFmtId="0" fontId="2" fillId="16" borderId="89" xfId="0" applyFont="1" applyFill="1" applyBorder="1"/>
    <xf numFmtId="0" fontId="0" fillId="16" borderId="41" xfId="0" applyFill="1" applyBorder="1" applyAlignment="1">
      <alignment horizontal="left"/>
    </xf>
    <xf numFmtId="0" fontId="5" fillId="16" borderId="92" xfId="0" applyFont="1" applyFill="1" applyBorder="1" applyAlignment="1">
      <alignment horizontal="center"/>
    </xf>
    <xf numFmtId="0" fontId="5" fillId="16" borderId="122" xfId="0" applyFont="1" applyFill="1" applyBorder="1"/>
    <xf numFmtId="0" fontId="5" fillId="16" borderId="117" xfId="0" applyFont="1" applyFill="1" applyBorder="1" applyAlignment="1">
      <alignment horizontal="center"/>
    </xf>
    <xf numFmtId="0" fontId="5" fillId="16" borderId="129" xfId="0" applyFont="1" applyFill="1" applyBorder="1" applyAlignment="1">
      <alignment horizontal="center"/>
    </xf>
    <xf numFmtId="0" fontId="5" fillId="16" borderId="130" xfId="0" applyFont="1" applyFill="1" applyBorder="1"/>
    <xf numFmtId="0" fontId="5" fillId="16" borderId="63" xfId="0" applyFont="1" applyFill="1" applyBorder="1"/>
    <xf numFmtId="0" fontId="5" fillId="16" borderId="39" xfId="0" applyFont="1" applyFill="1" applyBorder="1" applyAlignment="1">
      <alignment horizontal="left"/>
    </xf>
    <xf numFmtId="0" fontId="42" fillId="0" borderId="55" xfId="0" applyFont="1" applyBorder="1" applyAlignment="1">
      <alignment horizontal="center" textRotation="90"/>
    </xf>
    <xf numFmtId="0" fontId="42" fillId="0" borderId="58" xfId="0" applyFont="1" applyBorder="1"/>
    <xf numFmtId="0" fontId="42" fillId="0" borderId="71" xfId="0" applyFont="1" applyBorder="1" applyAlignment="1">
      <alignment horizontal="center"/>
    </xf>
    <xf numFmtId="0" fontId="42" fillId="0" borderId="72" xfId="0" applyFont="1" applyBorder="1" applyAlignment="1">
      <alignment horizontal="center"/>
    </xf>
    <xf numFmtId="0" fontId="42" fillId="0" borderId="59" xfId="0" applyFont="1" applyBorder="1"/>
    <xf numFmtId="0" fontId="42" fillId="0" borderId="51" xfId="0" applyFont="1" applyBorder="1" applyAlignment="1">
      <alignment horizontal="center" textRotation="90"/>
    </xf>
    <xf numFmtId="0" fontId="42" fillId="0" borderId="74" xfId="0" applyFont="1" applyBorder="1" applyAlignment="1">
      <alignment horizontal="center"/>
    </xf>
    <xf numFmtId="0" fontId="42" fillId="0" borderId="73" xfId="0" applyFont="1" applyBorder="1" applyAlignment="1">
      <alignment horizontal="center"/>
    </xf>
    <xf numFmtId="0" fontId="42" fillId="0" borderId="65" xfId="0" applyFont="1" applyBorder="1"/>
    <xf numFmtId="0" fontId="11" fillId="0" borderId="0" xfId="0" applyFont="1" applyAlignment="1">
      <alignment horizontal="center"/>
    </xf>
    <xf numFmtId="0" fontId="46" fillId="0" borderId="0" xfId="0" applyFont="1"/>
    <xf numFmtId="0" fontId="11" fillId="0" borderId="0" xfId="0" applyFont="1"/>
    <xf numFmtId="0" fontId="47" fillId="0" borderId="0" xfId="1" applyFont="1" applyFill="1" applyBorder="1" applyAlignment="1" applyProtection="1"/>
    <xf numFmtId="0" fontId="48" fillId="0" borderId="69" xfId="0" applyFont="1" applyBorder="1" applyAlignment="1">
      <alignment horizontal="center"/>
    </xf>
    <xf numFmtId="0" fontId="48" fillId="0" borderId="55" xfId="0" applyFont="1" applyBorder="1"/>
    <xf numFmtId="0" fontId="48" fillId="0" borderId="70" xfId="0" applyFont="1" applyBorder="1"/>
    <xf numFmtId="0" fontId="48" fillId="0" borderId="0" xfId="0" applyFont="1"/>
    <xf numFmtId="0" fontId="11" fillId="0" borderId="12" xfId="0" applyFont="1" applyBorder="1" applyAlignment="1">
      <alignment horizontal="center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20" xfId="0" applyFont="1" applyBorder="1" applyAlignment="1">
      <alignment horizontal="center"/>
    </xf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" fillId="0" borderId="0" xfId="0" applyFont="1" applyAlignment="1">
      <alignment horizontal="center"/>
    </xf>
    <xf numFmtId="0" fontId="11" fillId="18" borderId="16" xfId="0" applyFont="1" applyFill="1" applyBorder="1" applyAlignment="1">
      <alignment horizontal="center"/>
    </xf>
    <xf numFmtId="0" fontId="11" fillId="18" borderId="17" xfId="0" applyFont="1" applyFill="1" applyBorder="1"/>
    <xf numFmtId="0" fontId="11" fillId="18" borderId="19" xfId="0" applyFont="1" applyFill="1" applyBorder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166" fontId="28" fillId="0" borderId="0" xfId="0" applyNumberFormat="1" applyFont="1" applyAlignment="1">
      <alignment wrapText="1"/>
    </xf>
    <xf numFmtId="0" fontId="28" fillId="0" borderId="0" xfId="0" applyFont="1" applyAlignment="1">
      <alignment horizontal="left" wrapText="1"/>
    </xf>
    <xf numFmtId="166" fontId="28" fillId="0" borderId="0" xfId="0" applyNumberFormat="1" applyFont="1" applyAlignment="1">
      <alignment horizontal="left" wrapText="1"/>
    </xf>
    <xf numFmtId="166" fontId="28" fillId="0" borderId="0" xfId="0" applyNumberFormat="1" applyFont="1"/>
    <xf numFmtId="0" fontId="28" fillId="0" borderId="0" xfId="0" applyFont="1" applyAlignment="1">
      <alignment wrapText="1"/>
    </xf>
    <xf numFmtId="0" fontId="0" fillId="16" borderId="73" xfId="0" applyFill="1" applyBorder="1"/>
    <xf numFmtId="0" fontId="0" fillId="16" borderId="51" xfId="0" applyFill="1" applyBorder="1" applyAlignment="1">
      <alignment horizontal="right"/>
    </xf>
    <xf numFmtId="0" fontId="0" fillId="16" borderId="51" xfId="0" applyFill="1" applyBorder="1"/>
    <xf numFmtId="0" fontId="0" fillId="16" borderId="74" xfId="0" applyFill="1" applyBorder="1" applyAlignment="1">
      <alignment horizontal="left"/>
    </xf>
    <xf numFmtId="0" fontId="0" fillId="16" borderId="74" xfId="0" applyFill="1" applyBorder="1"/>
    <xf numFmtId="0" fontId="5" fillId="5" borderId="85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33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49" fillId="16" borderId="86" xfId="0" applyFont="1" applyFill="1" applyBorder="1"/>
    <xf numFmtId="0" fontId="49" fillId="2" borderId="17" xfId="0" applyFont="1" applyFill="1" applyBorder="1" applyAlignment="1">
      <alignment horizontal="left"/>
    </xf>
    <xf numFmtId="0" fontId="49" fillId="2" borderId="85" xfId="0" applyFont="1" applyFill="1" applyBorder="1" applyAlignment="1">
      <alignment horizontal="center"/>
    </xf>
    <xf numFmtId="164" fontId="49" fillId="2" borderId="17" xfId="0" applyNumberFormat="1" applyFont="1" applyFill="1" applyBorder="1" applyAlignment="1">
      <alignment horizontal="left"/>
    </xf>
    <xf numFmtId="0" fontId="49" fillId="2" borderId="86" xfId="0" applyFont="1" applyFill="1" applyBorder="1" applyAlignment="1">
      <alignment horizontal="left"/>
    </xf>
    <xf numFmtId="0" fontId="49" fillId="4" borderId="86" xfId="0" applyFont="1" applyFill="1" applyBorder="1"/>
    <xf numFmtId="0" fontId="5" fillId="4" borderId="108" xfId="0" applyFont="1" applyFill="1" applyBorder="1"/>
    <xf numFmtId="0" fontId="5" fillId="4" borderId="89" xfId="0" applyFont="1" applyFill="1" applyBorder="1"/>
    <xf numFmtId="0" fontId="49" fillId="16" borderId="83" xfId="0" applyFont="1" applyFill="1" applyBorder="1"/>
    <xf numFmtId="0" fontId="49" fillId="16" borderId="127" xfId="0" applyFont="1" applyFill="1" applyBorder="1"/>
    <xf numFmtId="0" fontId="5" fillId="16" borderId="107" xfId="0" applyFont="1" applyFill="1" applyBorder="1" applyAlignment="1">
      <alignment horizontal="center"/>
    </xf>
    <xf numFmtId="0" fontId="49" fillId="16" borderId="121" xfId="0" applyFont="1" applyFill="1" applyBorder="1"/>
    <xf numFmtId="0" fontId="49" fillId="16" borderId="89" xfId="0" applyFont="1" applyFill="1" applyBorder="1" applyAlignment="1">
      <alignment horizontal="center"/>
    </xf>
    <xf numFmtId="0" fontId="50" fillId="16" borderId="89" xfId="0" applyFont="1" applyFill="1" applyBorder="1"/>
    <xf numFmtId="0" fontId="49" fillId="16" borderId="85" xfId="0" applyFont="1" applyFill="1" applyBorder="1" applyAlignment="1">
      <alignment horizontal="center"/>
    </xf>
    <xf numFmtId="0" fontId="49" fillId="16" borderId="17" xfId="0" applyFont="1" applyFill="1" applyBorder="1" applyAlignment="1">
      <alignment horizontal="left"/>
    </xf>
    <xf numFmtId="0" fontId="49" fillId="16" borderId="86" xfId="0" applyFont="1" applyFill="1" applyBorder="1" applyAlignment="1">
      <alignment horizontal="left"/>
    </xf>
    <xf numFmtId="0" fontId="49" fillId="4" borderId="89" xfId="0" applyFont="1" applyFill="1" applyBorder="1"/>
    <xf numFmtId="0" fontId="49" fillId="0" borderId="85" xfId="0" applyFont="1" applyBorder="1" applyAlignment="1">
      <alignment horizontal="center"/>
    </xf>
    <xf numFmtId="0" fontId="49" fillId="0" borderId="17" xfId="0" applyFont="1" applyBorder="1" applyAlignment="1">
      <alignment horizontal="left"/>
    </xf>
    <xf numFmtId="0" fontId="49" fillId="0" borderId="86" xfId="0" applyFont="1" applyBorder="1" applyAlignment="1">
      <alignment horizontal="left"/>
    </xf>
    <xf numFmtId="0" fontId="51" fillId="0" borderId="3" xfId="6" applyFont="1" applyBorder="1"/>
    <xf numFmtId="0" fontId="51" fillId="0" borderId="3" xfId="1" applyFont="1" applyBorder="1" applyAlignment="1" applyProtection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2" fillId="0" borderId="139" xfId="0" applyFont="1" applyBorder="1"/>
    <xf numFmtId="0" fontId="42" fillId="0" borderId="140" xfId="0" applyFont="1" applyBorder="1"/>
    <xf numFmtId="0" fontId="42" fillId="0" borderId="141" xfId="0" applyFont="1" applyBorder="1"/>
    <xf numFmtId="0" fontId="42" fillId="0" borderId="142" xfId="0" applyFont="1" applyBorder="1" applyAlignment="1">
      <alignment horizontal="center"/>
    </xf>
    <xf numFmtId="0" fontId="42" fillId="0" borderId="143" xfId="0" applyFont="1" applyBorder="1"/>
    <xf numFmtId="0" fontId="42" fillId="0" borderId="144" xfId="0" applyFont="1" applyBorder="1" applyAlignment="1">
      <alignment horizontal="center"/>
    </xf>
    <xf numFmtId="0" fontId="42" fillId="0" borderId="145" xfId="0" applyFont="1" applyBorder="1"/>
    <xf numFmtId="0" fontId="42" fillId="0" borderId="0" xfId="0" applyFont="1" applyAlignment="1">
      <alignment horizontal="center" textRotation="90"/>
    </xf>
    <xf numFmtId="0" fontId="42" fillId="0" borderId="146" xfId="0" applyFont="1" applyBorder="1" applyAlignment="1">
      <alignment horizontal="center"/>
    </xf>
    <xf numFmtId="0" fontId="42" fillId="0" borderId="147" xfId="0" applyFont="1" applyBorder="1"/>
    <xf numFmtId="0" fontId="42" fillId="0" borderId="148" xfId="0" applyFont="1" applyBorder="1" applyAlignment="1">
      <alignment horizontal="center"/>
    </xf>
    <xf numFmtId="0" fontId="52" fillId="19" borderId="85" xfId="0" applyFont="1" applyFill="1" applyBorder="1" applyAlignment="1">
      <alignment horizontal="center"/>
    </xf>
    <xf numFmtId="0" fontId="52" fillId="19" borderId="17" xfId="0" applyFont="1" applyFill="1" applyBorder="1" applyAlignment="1">
      <alignment horizontal="left"/>
    </xf>
    <xf numFmtId="0" fontId="52" fillId="19" borderId="86" xfId="0" applyFont="1" applyFill="1" applyBorder="1" applyAlignment="1">
      <alignment horizontal="left"/>
    </xf>
    <xf numFmtId="0" fontId="42" fillId="20" borderId="143" xfId="0" applyFont="1" applyFill="1" applyBorder="1"/>
    <xf numFmtId="0" fontId="8" fillId="20" borderId="55" xfId="1" applyFill="1" applyBorder="1" applyAlignment="1" applyProtection="1">
      <alignment horizontal="center"/>
    </xf>
    <xf numFmtId="0" fontId="42" fillId="20" borderId="70" xfId="0" applyFont="1" applyFill="1" applyBorder="1" applyAlignment="1">
      <alignment horizontal="center"/>
    </xf>
    <xf numFmtId="0" fontId="42" fillId="20" borderId="55" xfId="0" applyFont="1" applyFill="1" applyBorder="1" applyAlignment="1">
      <alignment horizontal="center"/>
    </xf>
    <xf numFmtId="0" fontId="42" fillId="20" borderId="59" xfId="0" applyFont="1" applyFill="1" applyBorder="1"/>
    <xf numFmtId="0" fontId="42" fillId="20" borderId="146" xfId="0" applyFont="1" applyFill="1" applyBorder="1" applyAlignment="1">
      <alignment horizontal="center"/>
    </xf>
    <xf numFmtId="0" fontId="42" fillId="20" borderId="145" xfId="0" applyFont="1" applyFill="1" applyBorder="1"/>
    <xf numFmtId="0" fontId="8" fillId="20" borderId="0" xfId="1" applyFill="1" applyBorder="1" applyAlignment="1" applyProtection="1">
      <alignment horizontal="center"/>
    </xf>
    <xf numFmtId="0" fontId="42" fillId="20" borderId="72" xfId="0" applyFont="1" applyFill="1" applyBorder="1" applyAlignment="1">
      <alignment horizontal="center" textRotation="90"/>
    </xf>
    <xf numFmtId="0" fontId="42" fillId="20" borderId="0" xfId="0" applyFont="1" applyFill="1" applyAlignment="1">
      <alignment horizontal="center"/>
    </xf>
    <xf numFmtId="0" fontId="42" fillId="20" borderId="72" xfId="0" applyFont="1" applyFill="1" applyBorder="1" applyAlignment="1">
      <alignment horizontal="center"/>
    </xf>
    <xf numFmtId="0" fontId="42" fillId="20" borderId="149" xfId="0" applyFont="1" applyFill="1" applyBorder="1"/>
    <xf numFmtId="0" fontId="8" fillId="20" borderId="136" xfId="1" applyFill="1" applyBorder="1" applyAlignment="1" applyProtection="1">
      <alignment horizontal="center"/>
    </xf>
    <xf numFmtId="0" fontId="42" fillId="20" borderId="137" xfId="0" applyFont="1" applyFill="1" applyBorder="1" applyAlignment="1">
      <alignment horizontal="center" textRotation="90"/>
    </xf>
    <xf numFmtId="0" fontId="42" fillId="20" borderId="136" xfId="0" applyFont="1" applyFill="1" applyBorder="1" applyAlignment="1">
      <alignment horizontal="center"/>
    </xf>
    <xf numFmtId="0" fontId="42" fillId="20" borderId="137" xfId="0" applyFont="1" applyFill="1" applyBorder="1" applyAlignment="1">
      <alignment horizontal="center"/>
    </xf>
    <xf numFmtId="0" fontId="42" fillId="20" borderId="107" xfId="0" applyFont="1" applyFill="1" applyBorder="1"/>
    <xf numFmtId="0" fontId="42" fillId="20" borderId="150" xfId="0" applyFont="1" applyFill="1" applyBorder="1" applyAlignment="1">
      <alignment horizontal="center"/>
    </xf>
    <xf numFmtId="0" fontId="42" fillId="21" borderId="145" xfId="0" applyFont="1" applyFill="1" applyBorder="1"/>
    <xf numFmtId="0" fontId="8" fillId="21" borderId="0" xfId="1" applyFill="1" applyBorder="1" applyAlignment="1" applyProtection="1">
      <alignment horizontal="center"/>
    </xf>
    <xf numFmtId="0" fontId="8" fillId="21" borderId="72" xfId="1" applyFill="1" applyBorder="1" applyAlignment="1" applyProtection="1">
      <alignment horizontal="center"/>
    </xf>
    <xf numFmtId="0" fontId="42" fillId="21" borderId="0" xfId="0" applyFont="1" applyFill="1" applyAlignment="1">
      <alignment horizontal="center"/>
    </xf>
    <xf numFmtId="0" fontId="42" fillId="21" borderId="72" xfId="0" applyFont="1" applyFill="1" applyBorder="1" applyAlignment="1">
      <alignment horizontal="center"/>
    </xf>
    <xf numFmtId="0" fontId="42" fillId="21" borderId="59" xfId="0" applyFont="1" applyFill="1" applyBorder="1"/>
    <xf numFmtId="0" fontId="42" fillId="21" borderId="146" xfId="0" applyFont="1" applyFill="1" applyBorder="1" applyAlignment="1">
      <alignment horizontal="center"/>
    </xf>
    <xf numFmtId="0" fontId="42" fillId="21" borderId="72" xfId="0" applyFont="1" applyFill="1" applyBorder="1"/>
    <xf numFmtId="0" fontId="42" fillId="21" borderId="149" xfId="0" applyFont="1" applyFill="1" applyBorder="1"/>
    <xf numFmtId="0" fontId="8" fillId="21" borderId="136" xfId="1" applyFill="1" applyBorder="1" applyAlignment="1" applyProtection="1">
      <alignment horizontal="center"/>
    </xf>
    <xf numFmtId="0" fontId="8" fillId="21" borderId="137" xfId="1" applyFill="1" applyBorder="1" applyAlignment="1" applyProtection="1">
      <alignment horizontal="center"/>
    </xf>
    <xf numFmtId="0" fontId="42" fillId="21" borderId="136" xfId="0" applyFont="1" applyFill="1" applyBorder="1" applyAlignment="1">
      <alignment horizontal="center"/>
    </xf>
    <xf numFmtId="0" fontId="42" fillId="21" borderId="137" xfId="0" applyFont="1" applyFill="1" applyBorder="1" applyAlignment="1">
      <alignment horizontal="center"/>
    </xf>
    <xf numFmtId="0" fontId="42" fillId="21" borderId="107" xfId="0" applyFont="1" applyFill="1" applyBorder="1"/>
    <xf numFmtId="0" fontId="42" fillId="21" borderId="150" xfId="0" applyFont="1" applyFill="1" applyBorder="1" applyAlignment="1">
      <alignment horizontal="center"/>
    </xf>
    <xf numFmtId="0" fontId="42" fillId="21" borderId="151" xfId="0" applyFont="1" applyFill="1" applyBorder="1"/>
    <xf numFmtId="0" fontId="8" fillId="21" borderId="34" xfId="1" applyFill="1" applyBorder="1" applyAlignment="1" applyProtection="1">
      <alignment horizontal="center"/>
    </xf>
    <xf numFmtId="0" fontId="8" fillId="21" borderId="19" xfId="1" applyFill="1" applyBorder="1" applyAlignment="1" applyProtection="1"/>
    <xf numFmtId="0" fontId="22" fillId="21" borderId="34" xfId="0" applyFont="1" applyFill="1" applyBorder="1" applyAlignment="1">
      <alignment horizontal="center"/>
    </xf>
    <xf numFmtId="0" fontId="22" fillId="21" borderId="19" xfId="0" applyFont="1" applyFill="1" applyBorder="1" applyAlignment="1">
      <alignment horizontal="center"/>
    </xf>
    <xf numFmtId="0" fontId="42" fillId="21" borderId="45" xfId="0" applyFont="1" applyFill="1" applyBorder="1"/>
    <xf numFmtId="0" fontId="42" fillId="21" borderId="152" xfId="0" applyFont="1" applyFill="1" applyBorder="1" applyAlignment="1">
      <alignment horizontal="center"/>
    </xf>
    <xf numFmtId="0" fontId="22" fillId="21" borderId="145" xfId="0" applyFont="1" applyFill="1" applyBorder="1"/>
    <xf numFmtId="0" fontId="22" fillId="21" borderId="72" xfId="0" applyFont="1" applyFill="1" applyBorder="1" applyAlignment="1">
      <alignment horizontal="center"/>
    </xf>
    <xf numFmtId="0" fontId="22" fillId="21" borderId="0" xfId="0" applyFont="1" applyFill="1" applyAlignment="1">
      <alignment horizontal="center"/>
    </xf>
    <xf numFmtId="0" fontId="22" fillId="21" borderId="59" xfId="0" applyFont="1" applyFill="1" applyBorder="1"/>
    <xf numFmtId="0" fontId="22" fillId="21" borderId="146" xfId="0" applyFont="1" applyFill="1" applyBorder="1" applyAlignment="1">
      <alignment horizontal="center"/>
    </xf>
    <xf numFmtId="0" fontId="42" fillId="21" borderId="137" xfId="0" applyFont="1" applyFill="1" applyBorder="1"/>
    <xf numFmtId="0" fontId="42" fillId="21" borderId="153" xfId="0" applyFont="1" applyFill="1" applyBorder="1" applyAlignment="1">
      <alignment horizontal="center"/>
    </xf>
    <xf numFmtId="0" fontId="43" fillId="20" borderId="72" xfId="0" applyFont="1" applyFill="1" applyBorder="1" applyAlignment="1">
      <alignment horizontal="center"/>
    </xf>
    <xf numFmtId="0" fontId="43" fillId="20" borderId="137" xfId="0" applyFont="1" applyFill="1" applyBorder="1" applyAlignment="1">
      <alignment horizontal="center"/>
    </xf>
    <xf numFmtId="0" fontId="42" fillId="20" borderId="72" xfId="0" applyFont="1" applyFill="1" applyBorder="1"/>
    <xf numFmtId="0" fontId="22" fillId="20" borderId="145" xfId="0" applyFont="1" applyFill="1" applyBorder="1"/>
    <xf numFmtId="0" fontId="22" fillId="20" borderId="72" xfId="0" applyFont="1" applyFill="1" applyBorder="1"/>
    <xf numFmtId="0" fontId="22" fillId="20" borderId="0" xfId="0" applyFont="1" applyFill="1" applyAlignment="1">
      <alignment horizontal="center"/>
    </xf>
    <xf numFmtId="0" fontId="22" fillId="20" borderId="72" xfId="0" applyFont="1" applyFill="1" applyBorder="1" applyAlignment="1">
      <alignment horizontal="center"/>
    </xf>
    <xf numFmtId="0" fontId="22" fillId="20" borderId="59" xfId="0" applyFont="1" applyFill="1" applyBorder="1"/>
    <xf numFmtId="0" fontId="22" fillId="20" borderId="146" xfId="0" applyFont="1" applyFill="1" applyBorder="1" applyAlignment="1">
      <alignment horizontal="center"/>
    </xf>
    <xf numFmtId="0" fontId="42" fillId="20" borderId="137" xfId="0" applyFont="1" applyFill="1" applyBorder="1"/>
    <xf numFmtId="0" fontId="45" fillId="20" borderId="72" xfId="1" applyFont="1" applyFill="1" applyBorder="1" applyAlignment="1" applyProtection="1"/>
    <xf numFmtId="0" fontId="0" fillId="20" borderId="72" xfId="0" applyFill="1" applyBorder="1"/>
    <xf numFmtId="0" fontId="0" fillId="20" borderId="71" xfId="0" applyFill="1" applyBorder="1"/>
    <xf numFmtId="0" fontId="47" fillId="20" borderId="72" xfId="1" applyFont="1" applyFill="1" applyBorder="1" applyAlignment="1" applyProtection="1"/>
    <xf numFmtId="0" fontId="42" fillId="20" borderId="156" xfId="0" applyFont="1" applyFill="1" applyBorder="1"/>
    <xf numFmtId="0" fontId="8" fillId="20" borderId="157" xfId="1" applyFill="1" applyBorder="1" applyAlignment="1" applyProtection="1">
      <alignment horizontal="center"/>
    </xf>
    <xf numFmtId="0" fontId="0" fillId="20" borderId="158" xfId="0" applyFill="1" applyBorder="1"/>
    <xf numFmtId="0" fontId="0" fillId="20" borderId="159" xfId="0" applyFill="1" applyBorder="1"/>
    <xf numFmtId="0" fontId="42" fillId="20" borderId="160" xfId="0" applyFont="1" applyFill="1" applyBorder="1"/>
    <xf numFmtId="0" fontId="42" fillId="20" borderId="161" xfId="0" applyFont="1" applyFill="1" applyBorder="1" applyAlignment="1">
      <alignment horizontal="center"/>
    </xf>
    <xf numFmtId="0" fontId="42" fillId="21" borderId="154" xfId="0" applyFont="1" applyFill="1" applyBorder="1"/>
    <xf numFmtId="0" fontId="8" fillId="21" borderId="41" xfId="1" applyFill="1" applyBorder="1" applyAlignment="1" applyProtection="1">
      <alignment horizontal="center"/>
    </xf>
    <xf numFmtId="0" fontId="42" fillId="21" borderId="134" xfId="0" applyFont="1" applyFill="1" applyBorder="1"/>
    <xf numFmtId="0" fontId="42" fillId="21" borderId="41" xfId="0" applyFont="1" applyFill="1" applyBorder="1" applyAlignment="1">
      <alignment horizontal="center"/>
    </xf>
    <xf numFmtId="0" fontId="42" fillId="21" borderId="134" xfId="0" applyFont="1" applyFill="1" applyBorder="1" applyAlignment="1">
      <alignment horizontal="center"/>
    </xf>
    <xf numFmtId="0" fontId="42" fillId="21" borderId="135" xfId="0" applyFont="1" applyFill="1" applyBorder="1"/>
    <xf numFmtId="0" fontId="42" fillId="21" borderId="155" xfId="0" applyFont="1" applyFill="1" applyBorder="1" applyAlignment="1">
      <alignment horizontal="center"/>
    </xf>
    <xf numFmtId="0" fontId="45" fillId="21" borderId="72" xfId="6" applyFill="1" applyBorder="1"/>
    <xf numFmtId="0" fontId="42" fillId="21" borderId="138" xfId="0" applyFont="1" applyFill="1" applyBorder="1" applyAlignment="1">
      <alignment horizontal="center"/>
    </xf>
    <xf numFmtId="10" fontId="37" fillId="0" borderId="0" xfId="0" applyNumberFormat="1" applyFont="1"/>
    <xf numFmtId="10" fontId="0" fillId="0" borderId="0" xfId="0" applyNumberFormat="1"/>
    <xf numFmtId="10" fontId="0" fillId="0" borderId="0" xfId="0" applyNumberFormat="1" applyAlignment="1">
      <alignment horizontal="right"/>
    </xf>
    <xf numFmtId="10" fontId="0" fillId="0" borderId="0" xfId="0" applyNumberFormat="1" applyAlignment="1">
      <alignment horizontal="left"/>
    </xf>
    <xf numFmtId="0" fontId="19" fillId="0" borderId="0" xfId="0" applyFont="1" applyAlignment="1">
      <alignment horizontal="right"/>
    </xf>
    <xf numFmtId="0" fontId="53" fillId="0" borderId="55" xfId="0" applyFont="1" applyBorder="1" applyAlignment="1">
      <alignment horizontal="center" textRotation="90"/>
    </xf>
    <xf numFmtId="0" fontId="53" fillId="0" borderId="0" xfId="0" applyFont="1" applyAlignment="1">
      <alignment horizontal="center" textRotation="90"/>
    </xf>
    <xf numFmtId="0" fontId="53" fillId="0" borderId="51" xfId="0" applyFont="1" applyBorder="1" applyAlignment="1">
      <alignment horizontal="center" textRotation="90"/>
    </xf>
    <xf numFmtId="0" fontId="54" fillId="0" borderId="69" xfId="1" applyFont="1" applyBorder="1" applyAlignment="1" applyProtection="1">
      <alignment horizontal="center"/>
    </xf>
    <xf numFmtId="0" fontId="54" fillId="0" borderId="55" xfId="1" applyFont="1" applyBorder="1" applyAlignment="1" applyProtection="1">
      <alignment horizontal="center"/>
    </xf>
    <xf numFmtId="0" fontId="36" fillId="0" borderId="0" xfId="0" applyFont="1" applyAlignment="1">
      <alignment horizontal="center" vertical="distributed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0" fontId="27" fillId="11" borderId="0" xfId="0" applyFont="1" applyFill="1" applyAlignment="1">
      <alignment horizontal="center" vertical="center" wrapText="1"/>
    </xf>
    <xf numFmtId="0" fontId="27" fillId="11" borderId="0" xfId="0" applyFont="1" applyFill="1" applyAlignment="1">
      <alignment vertical="center" wrapText="1"/>
    </xf>
    <xf numFmtId="166" fontId="27" fillId="9" borderId="0" xfId="0" applyNumberFormat="1" applyFont="1" applyFill="1" applyAlignment="1">
      <alignment horizontal="center" vertical="center"/>
    </xf>
    <xf numFmtId="0" fontId="27" fillId="9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7" fillId="13" borderId="0" xfId="0" applyFont="1" applyFill="1" applyAlignment="1">
      <alignment horizontal="center" vertical="center" wrapText="1"/>
    </xf>
    <xf numFmtId="0" fontId="0" fillId="13" borderId="0" xfId="0" applyFill="1" applyAlignment="1">
      <alignment horizontal="center"/>
    </xf>
    <xf numFmtId="166" fontId="27" fillId="12" borderId="0" xfId="0" applyNumberFormat="1" applyFont="1" applyFill="1" applyAlignment="1">
      <alignment horizontal="center"/>
    </xf>
    <xf numFmtId="0" fontId="8" fillId="0" borderId="0" xfId="1" applyAlignment="1" applyProtection="1">
      <alignment horizontal="left"/>
    </xf>
    <xf numFmtId="0" fontId="5" fillId="11" borderId="38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33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0" fillId="0" borderId="0" xfId="0"/>
    <xf numFmtId="0" fontId="5" fillId="0" borderId="3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6" fontId="29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166" fontId="29" fillId="0" borderId="0" xfId="0" applyNumberFormat="1" applyFont="1" applyAlignment="1">
      <alignment horizontal="right" vertical="center"/>
    </xf>
    <xf numFmtId="167" fontId="29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/>
    </xf>
    <xf numFmtId="0" fontId="2" fillId="0" borderId="25" xfId="2" applyFont="1" applyBorder="1" applyAlignment="1">
      <alignment horizontal="center"/>
    </xf>
    <xf numFmtId="0" fontId="2" fillId="0" borderId="28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55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51" xfId="1" applyBorder="1" applyAlignment="1" applyProtection="1">
      <alignment horizont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32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</cellXfs>
  <cellStyles count="7">
    <cellStyle name="Hyperkobling" xfId="1" builtinId="8"/>
    <cellStyle name="Hyperlink" xfId="6" xr:uid="{00000000-000B-0000-0000-000008000000}"/>
    <cellStyle name="Normal" xfId="0" builtinId="0"/>
    <cellStyle name="Normal 2" xfId="2" xr:uid="{E4EFED62-B0F2-461E-874B-318A126E866D}"/>
    <cellStyle name="Normal 2 3" xfId="5" xr:uid="{4484DA3C-E282-4F18-AF8D-DD09DD801031}"/>
    <cellStyle name="Normal 5" xfId="3" xr:uid="{1E7A3859-4DCC-4945-B3CE-AB793AA6247B}"/>
    <cellStyle name="Prosent 2" xfId="4" xr:uid="{02FEAFA3-5B16-442D-A5D5-6581B7323D70}"/>
  </cellStyles>
  <dxfs count="0"/>
  <tableStyles count="0" defaultTableStyle="TableStyleMedium2" defaultPivotStyle="PivotStyleLight16"/>
  <colors>
    <mruColors>
      <color rgb="FFFF5050"/>
      <color rgb="FFFF9966"/>
      <color rgb="FFFFFDCC"/>
      <color rgb="FFFFCC66"/>
      <color rgb="FF99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47625</xdr:rowOff>
    </xdr:from>
    <xdr:to>
      <xdr:col>18</xdr:col>
      <xdr:colOff>478591</xdr:colOff>
      <xdr:row>52</xdr:row>
      <xdr:rowOff>133350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450C9AD-39A3-4DBF-A2E0-D20BB2036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47625"/>
          <a:ext cx="5688766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47625</xdr:rowOff>
    </xdr:from>
    <xdr:to>
      <xdr:col>18</xdr:col>
      <xdr:colOff>507166</xdr:colOff>
      <xdr:row>52</xdr:row>
      <xdr:rowOff>133350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A03FAC-B2BD-4CC4-AD85-ABFE46855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47625"/>
          <a:ext cx="5688766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5293</xdr:colOff>
      <xdr:row>2</xdr:row>
      <xdr:rowOff>195794</xdr:rowOff>
    </xdr:from>
    <xdr:to>
      <xdr:col>55</xdr:col>
      <xdr:colOff>471102</xdr:colOff>
      <xdr:row>52</xdr:row>
      <xdr:rowOff>173436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37A77D8-54EF-469A-AA30-C3B87C7FA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8793" y="746127"/>
          <a:ext cx="7323809" cy="9523809"/>
        </a:xfrm>
        <a:prstGeom prst="rect">
          <a:avLst/>
        </a:prstGeom>
        <a:effectLst>
          <a:outerShdw blurRad="50800" dist="50800" dir="5400000" sx="101000" sy="101000" algn="ctr" rotWithShape="0">
            <a:schemeClr val="bg2">
              <a:lumMod val="50000"/>
              <a:alpha val="87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odocdb.dk/download/94d7baa2-0ec1/REC1205E.PDF" TargetMode="External"/><Relationship Id="rId2" Type="http://schemas.openxmlformats.org/officeDocument/2006/relationships/hyperlink" Target="https://www.itu.int/dms_pubrec/itu-r/rec/f/R-REC-F.385-6-199409-S!!PDF-E.pdf" TargetMode="External"/><Relationship Id="rId1" Type="http://schemas.openxmlformats.org/officeDocument/2006/relationships/hyperlink" Target="https://docdb.cept.org/document/129" TargetMode="External"/><Relationship Id="rId6" Type="http://schemas.openxmlformats.org/officeDocument/2006/relationships/hyperlink" Target="https://docdb.cept.org/download/2502" TargetMode="External"/><Relationship Id="rId5" Type="http://schemas.openxmlformats.org/officeDocument/2006/relationships/hyperlink" Target="https://docdb.cept.org/download/9c4f8690-d0e1/REC0507.PDF" TargetMode="External"/><Relationship Id="rId4" Type="http://schemas.openxmlformats.org/officeDocument/2006/relationships/hyperlink" Target="https://docdb.cept.org/download/2dce417c-b219/TR1302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ecodocdb.dk/download/94d7baa2-0ec1/REC1205E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docdb.cept.org/download/9c4f8690-d0e1/REC0507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db.cept.org/download/f93f0649-b052/ERCREC140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db.cept.org/download/5570c6c2-1438/ERCREC140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8935-2224-4F6E-BED2-743023DF53B8}">
  <dimension ref="A1:G53"/>
  <sheetViews>
    <sheetView topLeftCell="A24" zoomScale="130" zoomScaleNormal="130" workbookViewId="0">
      <selection activeCell="G43" sqref="G43"/>
    </sheetView>
  </sheetViews>
  <sheetFormatPr baseColWidth="10" defaultColWidth="11.42578125" defaultRowHeight="15" x14ac:dyDescent="0.25"/>
  <cols>
    <col min="1" max="1" width="23" bestFit="1" customWidth="1"/>
    <col min="3" max="3" width="21.85546875" bestFit="1" customWidth="1"/>
    <col min="4" max="4" width="10.42578125" customWidth="1"/>
    <col min="5" max="5" width="5.5703125" bestFit="1" customWidth="1"/>
    <col min="6" max="6" width="6.28515625" bestFit="1" customWidth="1"/>
  </cols>
  <sheetData>
    <row r="1" spans="1:7" ht="15.75" thickBot="1" x14ac:dyDescent="0.3">
      <c r="A1" s="804" t="s">
        <v>0</v>
      </c>
      <c r="B1" s="805"/>
      <c r="C1" s="805"/>
      <c r="D1" s="805"/>
      <c r="E1" s="805"/>
      <c r="F1" s="806"/>
      <c r="G1" s="807"/>
    </row>
    <row r="2" spans="1:7" ht="15" customHeight="1" x14ac:dyDescent="0.25">
      <c r="A2" s="808"/>
      <c r="B2" s="899" t="s">
        <v>1</v>
      </c>
      <c r="C2" s="727"/>
      <c r="D2" s="902" t="s">
        <v>2</v>
      </c>
      <c r="E2" s="903"/>
      <c r="F2" s="728" t="s">
        <v>3</v>
      </c>
      <c r="G2" s="809" t="s">
        <v>4</v>
      </c>
    </row>
    <row r="3" spans="1:7" x14ac:dyDescent="0.25">
      <c r="A3" s="810"/>
      <c r="B3" s="900"/>
      <c r="C3" s="811"/>
      <c r="D3" s="729" t="s">
        <v>5</v>
      </c>
      <c r="E3" s="730" t="s">
        <v>6</v>
      </c>
      <c r="F3" s="731"/>
      <c r="G3" s="812" t="s">
        <v>7</v>
      </c>
    </row>
    <row r="4" spans="1:7" ht="28.5" customHeight="1" x14ac:dyDescent="0.25">
      <c r="A4" s="813" t="s">
        <v>8</v>
      </c>
      <c r="B4" s="901"/>
      <c r="C4" s="732"/>
      <c r="D4" s="734" t="s">
        <v>9</v>
      </c>
      <c r="E4" s="733" t="s">
        <v>9</v>
      </c>
      <c r="F4" s="735" t="s">
        <v>10</v>
      </c>
      <c r="G4" s="814" t="s">
        <v>11</v>
      </c>
    </row>
    <row r="5" spans="1:7" x14ac:dyDescent="0.25">
      <c r="A5" s="818" t="s">
        <v>12</v>
      </c>
      <c r="B5" s="819" t="s">
        <v>13</v>
      </c>
      <c r="C5" s="820" t="s">
        <v>14</v>
      </c>
      <c r="D5" s="821">
        <v>20</v>
      </c>
      <c r="E5" s="820">
        <v>80</v>
      </c>
      <c r="F5" s="822">
        <v>29.65</v>
      </c>
      <c r="G5" s="823">
        <v>8</v>
      </c>
    </row>
    <row r="6" spans="1:7" x14ac:dyDescent="0.25">
      <c r="A6" s="824" t="s">
        <v>12</v>
      </c>
      <c r="B6" s="825" t="s">
        <v>13</v>
      </c>
      <c r="C6" s="826"/>
      <c r="D6" s="827">
        <v>20</v>
      </c>
      <c r="E6" s="828">
        <v>80</v>
      </c>
      <c r="F6" s="822">
        <v>59.3</v>
      </c>
      <c r="G6" s="823">
        <v>7</v>
      </c>
    </row>
    <row r="7" spans="1:7" x14ac:dyDescent="0.25">
      <c r="A7" s="824" t="s">
        <v>15</v>
      </c>
      <c r="B7" s="825" t="s">
        <v>16</v>
      </c>
      <c r="C7" s="828" t="s">
        <v>17</v>
      </c>
      <c r="D7" s="827">
        <v>20</v>
      </c>
      <c r="E7" s="828">
        <v>80</v>
      </c>
      <c r="F7" s="822">
        <v>7</v>
      </c>
      <c r="G7" s="823">
        <v>44</v>
      </c>
    </row>
    <row r="8" spans="1:7" x14ac:dyDescent="0.25">
      <c r="A8" s="824" t="s">
        <v>15</v>
      </c>
      <c r="B8" s="825" t="s">
        <v>16</v>
      </c>
      <c r="C8" s="826"/>
      <c r="D8" s="827">
        <v>20</v>
      </c>
      <c r="E8" s="828">
        <v>80</v>
      </c>
      <c r="F8" s="822">
        <v>14</v>
      </c>
      <c r="G8" s="823">
        <v>22</v>
      </c>
    </row>
    <row r="9" spans="1:7" x14ac:dyDescent="0.25">
      <c r="A9" s="824" t="s">
        <v>15</v>
      </c>
      <c r="B9" s="825" t="s">
        <v>16</v>
      </c>
      <c r="C9" s="828"/>
      <c r="D9" s="827">
        <v>20</v>
      </c>
      <c r="E9" s="828">
        <v>80</v>
      </c>
      <c r="F9" s="822">
        <v>20</v>
      </c>
      <c r="G9" s="823">
        <v>16</v>
      </c>
    </row>
    <row r="10" spans="1:7" x14ac:dyDescent="0.25">
      <c r="A10" s="824" t="s">
        <v>15</v>
      </c>
      <c r="B10" s="825" t="s">
        <v>16</v>
      </c>
      <c r="C10" s="826"/>
      <c r="D10" s="827">
        <v>20</v>
      </c>
      <c r="E10" s="828">
        <v>80</v>
      </c>
      <c r="F10" s="822">
        <v>30</v>
      </c>
      <c r="G10" s="823">
        <v>11</v>
      </c>
    </row>
    <row r="11" spans="1:7" x14ac:dyDescent="0.25">
      <c r="A11" s="829" t="s">
        <v>15</v>
      </c>
      <c r="B11" s="830" t="s">
        <v>16</v>
      </c>
      <c r="C11" s="831"/>
      <c r="D11" s="832">
        <v>20</v>
      </c>
      <c r="E11" s="833">
        <v>80</v>
      </c>
      <c r="F11" s="834">
        <v>40</v>
      </c>
      <c r="G11" s="835">
        <v>8</v>
      </c>
    </row>
    <row r="12" spans="1:7" x14ac:dyDescent="0.25">
      <c r="A12" s="836" t="s">
        <v>18</v>
      </c>
      <c r="B12" s="837" t="s">
        <v>19</v>
      </c>
      <c r="C12" s="838" t="s">
        <v>20</v>
      </c>
      <c r="D12" s="839">
        <v>20</v>
      </c>
      <c r="E12" s="840">
        <v>80</v>
      </c>
      <c r="F12" s="841">
        <v>7</v>
      </c>
      <c r="G12" s="842">
        <v>39</v>
      </c>
    </row>
    <row r="13" spans="1:7" x14ac:dyDescent="0.25">
      <c r="A13" s="836" t="s">
        <v>18</v>
      </c>
      <c r="B13" s="837" t="s">
        <v>19</v>
      </c>
      <c r="C13" s="843"/>
      <c r="D13" s="839">
        <v>20</v>
      </c>
      <c r="E13" s="840">
        <v>35</v>
      </c>
      <c r="F13" s="841">
        <v>28</v>
      </c>
      <c r="G13" s="842">
        <v>9</v>
      </c>
    </row>
    <row r="14" spans="1:7" x14ac:dyDescent="0.25">
      <c r="A14" s="844" t="s">
        <v>18</v>
      </c>
      <c r="B14" s="845" t="s">
        <v>19</v>
      </c>
      <c r="C14" s="846"/>
      <c r="D14" s="847">
        <v>35</v>
      </c>
      <c r="E14" s="848">
        <v>80</v>
      </c>
      <c r="F14" s="849">
        <v>28</v>
      </c>
      <c r="G14" s="850">
        <v>9</v>
      </c>
    </row>
    <row r="15" spans="1:7" x14ac:dyDescent="0.25">
      <c r="A15" s="824" t="s">
        <v>21</v>
      </c>
      <c r="B15" s="825" t="s">
        <v>22</v>
      </c>
      <c r="C15" s="865" t="s">
        <v>23</v>
      </c>
      <c r="D15" s="827">
        <v>20</v>
      </c>
      <c r="E15" s="828">
        <v>60</v>
      </c>
      <c r="F15" s="822">
        <v>28</v>
      </c>
      <c r="G15" s="823">
        <v>10</v>
      </c>
    </row>
    <row r="16" spans="1:7" x14ac:dyDescent="0.25">
      <c r="A16" s="824" t="s">
        <v>21</v>
      </c>
      <c r="B16" s="825" t="s">
        <v>22</v>
      </c>
      <c r="C16" s="865"/>
      <c r="D16" s="827">
        <v>60</v>
      </c>
      <c r="E16" s="828">
        <v>80</v>
      </c>
      <c r="F16" s="822">
        <v>28</v>
      </c>
      <c r="G16" s="823">
        <v>10</v>
      </c>
    </row>
    <row r="17" spans="1:7" x14ac:dyDescent="0.25">
      <c r="A17" s="824" t="s">
        <v>21</v>
      </c>
      <c r="B17" s="825" t="s">
        <v>22</v>
      </c>
      <c r="C17" s="865" t="s">
        <v>24</v>
      </c>
      <c r="D17" s="827">
        <v>20</v>
      </c>
      <c r="E17" s="828">
        <v>35</v>
      </c>
      <c r="F17" s="822">
        <v>56</v>
      </c>
      <c r="G17" s="823">
        <v>5</v>
      </c>
    </row>
    <row r="18" spans="1:7" x14ac:dyDescent="0.25">
      <c r="A18" s="829" t="s">
        <v>21</v>
      </c>
      <c r="B18" s="830" t="s">
        <v>22</v>
      </c>
      <c r="C18" s="866"/>
      <c r="D18" s="832">
        <v>35</v>
      </c>
      <c r="E18" s="833">
        <v>80</v>
      </c>
      <c r="F18" s="834">
        <v>56</v>
      </c>
      <c r="G18" s="835">
        <v>5</v>
      </c>
    </row>
    <row r="19" spans="1:7" x14ac:dyDescent="0.25">
      <c r="A19" s="851" t="s">
        <v>25</v>
      </c>
      <c r="B19" s="852" t="s">
        <v>26</v>
      </c>
      <c r="C19" s="853" t="s">
        <v>27</v>
      </c>
      <c r="D19" s="854">
        <v>10</v>
      </c>
      <c r="E19" s="855">
        <v>60</v>
      </c>
      <c r="F19" s="856">
        <v>28</v>
      </c>
      <c r="G19" s="857">
        <v>1</v>
      </c>
    </row>
    <row r="20" spans="1:7" x14ac:dyDescent="0.25">
      <c r="A20" s="824" t="s">
        <v>28</v>
      </c>
      <c r="B20" s="825" t="s">
        <v>29</v>
      </c>
      <c r="C20" s="865"/>
      <c r="D20" s="827">
        <v>5</v>
      </c>
      <c r="E20" s="828">
        <v>35</v>
      </c>
      <c r="F20" s="822">
        <v>14</v>
      </c>
      <c r="G20" s="823">
        <v>6</v>
      </c>
    </row>
    <row r="21" spans="1:7" x14ac:dyDescent="0.25">
      <c r="A21" s="824" t="s">
        <v>28</v>
      </c>
      <c r="B21" s="825" t="s">
        <v>29</v>
      </c>
      <c r="C21" s="867" t="s">
        <v>30</v>
      </c>
      <c r="D21" s="827">
        <v>5</v>
      </c>
      <c r="E21" s="828">
        <v>25</v>
      </c>
      <c r="F21" s="822">
        <v>28</v>
      </c>
      <c r="G21" s="823">
        <v>3</v>
      </c>
    </row>
    <row r="22" spans="1:7" x14ac:dyDescent="0.25">
      <c r="A22" s="824" t="s">
        <v>28</v>
      </c>
      <c r="B22" s="825" t="s">
        <v>29</v>
      </c>
      <c r="C22" s="867"/>
      <c r="D22" s="827">
        <v>25</v>
      </c>
      <c r="E22" s="828">
        <v>35</v>
      </c>
      <c r="F22" s="822">
        <v>28</v>
      </c>
      <c r="G22" s="823">
        <v>3</v>
      </c>
    </row>
    <row r="23" spans="1:7" x14ac:dyDescent="0.25">
      <c r="A23" s="868" t="s">
        <v>28</v>
      </c>
      <c r="B23" s="825" t="s">
        <v>29</v>
      </c>
      <c r="C23" s="869"/>
      <c r="D23" s="870">
        <v>5</v>
      </c>
      <c r="E23" s="871">
        <v>25</v>
      </c>
      <c r="F23" s="872">
        <v>56</v>
      </c>
      <c r="G23" s="873">
        <v>1</v>
      </c>
    </row>
    <row r="24" spans="1:7" x14ac:dyDescent="0.25">
      <c r="A24" s="829" t="s">
        <v>28</v>
      </c>
      <c r="B24" s="830" t="s">
        <v>29</v>
      </c>
      <c r="C24" s="874"/>
      <c r="D24" s="832">
        <v>25</v>
      </c>
      <c r="E24" s="833">
        <v>35</v>
      </c>
      <c r="F24" s="834">
        <v>56</v>
      </c>
      <c r="G24" s="835">
        <v>1</v>
      </c>
    </row>
    <row r="25" spans="1:7" x14ac:dyDescent="0.25">
      <c r="A25" s="836" t="s">
        <v>31</v>
      </c>
      <c r="B25" s="837" t="s">
        <v>32</v>
      </c>
      <c r="C25" s="843"/>
      <c r="D25" s="839">
        <v>4</v>
      </c>
      <c r="E25" s="840">
        <v>25</v>
      </c>
      <c r="F25" s="841">
        <v>13.75</v>
      </c>
      <c r="G25" s="842">
        <v>38</v>
      </c>
    </row>
    <row r="26" spans="1:7" x14ac:dyDescent="0.25">
      <c r="A26" s="836" t="s">
        <v>31</v>
      </c>
      <c r="B26" s="837" t="s">
        <v>32</v>
      </c>
      <c r="C26" s="843" t="s">
        <v>33</v>
      </c>
      <c r="D26" s="839">
        <v>4</v>
      </c>
      <c r="E26" s="840">
        <v>25</v>
      </c>
      <c r="F26" s="841">
        <v>27.5</v>
      </c>
      <c r="G26" s="842">
        <v>19</v>
      </c>
    </row>
    <row r="27" spans="1:7" x14ac:dyDescent="0.25">
      <c r="A27" s="858" t="s">
        <v>31</v>
      </c>
      <c r="B27" s="837" t="s">
        <v>32</v>
      </c>
      <c r="C27" s="859"/>
      <c r="D27" s="860">
        <v>4</v>
      </c>
      <c r="E27" s="859">
        <v>25</v>
      </c>
      <c r="F27" s="861">
        <v>55</v>
      </c>
      <c r="G27" s="862">
        <v>9</v>
      </c>
    </row>
    <row r="28" spans="1:7" x14ac:dyDescent="0.25">
      <c r="A28" s="836" t="s">
        <v>31</v>
      </c>
      <c r="B28" s="837" t="s">
        <v>32</v>
      </c>
      <c r="C28" s="843"/>
      <c r="D28" s="839">
        <v>4</v>
      </c>
      <c r="E28" s="840">
        <v>25</v>
      </c>
      <c r="F28" s="841">
        <v>110</v>
      </c>
      <c r="G28" s="842">
        <v>4</v>
      </c>
    </row>
    <row r="29" spans="1:7" x14ac:dyDescent="0.25">
      <c r="A29" s="844" t="s">
        <v>31</v>
      </c>
      <c r="B29" s="845" t="s">
        <v>32</v>
      </c>
      <c r="C29" s="863"/>
      <c r="D29" s="847">
        <v>4</v>
      </c>
      <c r="E29" s="848">
        <v>25</v>
      </c>
      <c r="F29" s="849">
        <v>220</v>
      </c>
      <c r="G29" s="864">
        <v>2</v>
      </c>
    </row>
    <row r="30" spans="1:7" x14ac:dyDescent="0.25">
      <c r="A30" s="824" t="s">
        <v>34</v>
      </c>
      <c r="B30" s="825" t="s">
        <v>35</v>
      </c>
      <c r="C30" s="867"/>
      <c r="D30" s="827">
        <v>3</v>
      </c>
      <c r="E30" s="828">
        <v>20</v>
      </c>
      <c r="F30" s="822">
        <v>7</v>
      </c>
      <c r="G30" s="823"/>
    </row>
    <row r="31" spans="1:7" x14ac:dyDescent="0.25">
      <c r="A31" s="824" t="s">
        <v>34</v>
      </c>
      <c r="B31" s="825" t="s">
        <v>35</v>
      </c>
      <c r="C31" s="875" t="s">
        <v>36</v>
      </c>
      <c r="D31" s="827">
        <v>3</v>
      </c>
      <c r="E31" s="828">
        <v>20</v>
      </c>
      <c r="F31" s="822">
        <v>14</v>
      </c>
      <c r="G31" s="823">
        <v>10</v>
      </c>
    </row>
    <row r="32" spans="1:7" x14ac:dyDescent="0.25">
      <c r="A32" s="824" t="s">
        <v>34</v>
      </c>
      <c r="B32" s="825" t="s">
        <v>35</v>
      </c>
      <c r="C32" s="867"/>
      <c r="D32" s="827">
        <v>3</v>
      </c>
      <c r="E32" s="828">
        <v>20</v>
      </c>
      <c r="F32" s="822">
        <v>28</v>
      </c>
      <c r="G32" s="823">
        <v>5</v>
      </c>
    </row>
    <row r="33" spans="1:7" x14ac:dyDescent="0.25">
      <c r="A33" s="824" t="s">
        <v>34</v>
      </c>
      <c r="B33" s="825" t="s">
        <v>35</v>
      </c>
      <c r="C33" s="867"/>
      <c r="D33" s="827">
        <v>3</v>
      </c>
      <c r="E33" s="828">
        <v>20</v>
      </c>
      <c r="F33" s="822">
        <v>56</v>
      </c>
      <c r="G33" s="823">
        <v>2</v>
      </c>
    </row>
    <row r="34" spans="1:7" x14ac:dyDescent="0.25">
      <c r="A34" s="885" t="s">
        <v>37</v>
      </c>
      <c r="B34" s="886" t="s">
        <v>38</v>
      </c>
      <c r="C34" s="887"/>
      <c r="D34" s="888">
        <v>2</v>
      </c>
      <c r="E34" s="889">
        <v>12</v>
      </c>
      <c r="F34" s="890">
        <v>28</v>
      </c>
      <c r="G34" s="891">
        <v>4</v>
      </c>
    </row>
    <row r="35" spans="1:7" x14ac:dyDescent="0.25">
      <c r="A35" s="836" t="s">
        <v>37</v>
      </c>
      <c r="B35" s="837" t="s">
        <v>38</v>
      </c>
      <c r="C35" s="892" t="s">
        <v>39</v>
      </c>
      <c r="D35" s="839">
        <v>2</v>
      </c>
      <c r="E35" s="840">
        <v>12</v>
      </c>
      <c r="F35" s="841">
        <v>56</v>
      </c>
      <c r="G35" s="842">
        <v>2</v>
      </c>
    </row>
    <row r="36" spans="1:7" x14ac:dyDescent="0.25">
      <c r="A36" s="844" t="s">
        <v>37</v>
      </c>
      <c r="B36" s="845" t="s">
        <v>38</v>
      </c>
      <c r="C36" s="863"/>
      <c r="D36" s="847">
        <v>2</v>
      </c>
      <c r="E36" s="848">
        <v>12</v>
      </c>
      <c r="F36" s="849">
        <v>112</v>
      </c>
      <c r="G36" s="850">
        <v>1</v>
      </c>
    </row>
    <row r="37" spans="1:7" x14ac:dyDescent="0.25">
      <c r="A37" s="824" t="s">
        <v>40</v>
      </c>
      <c r="B37" s="825" t="s">
        <v>41</v>
      </c>
      <c r="C37" s="867" t="s">
        <v>42</v>
      </c>
      <c r="D37" s="827">
        <v>1</v>
      </c>
      <c r="E37" s="828">
        <v>10</v>
      </c>
      <c r="F37" s="822">
        <v>28</v>
      </c>
      <c r="G37" s="823">
        <v>8</v>
      </c>
    </row>
    <row r="38" spans="1:7" x14ac:dyDescent="0.25">
      <c r="A38" s="829" t="s">
        <v>40</v>
      </c>
      <c r="B38" s="830" t="s">
        <v>41</v>
      </c>
      <c r="C38" s="874"/>
      <c r="D38" s="832">
        <v>1</v>
      </c>
      <c r="E38" s="833">
        <v>10</v>
      </c>
      <c r="F38" s="834">
        <v>56</v>
      </c>
      <c r="G38" s="835">
        <v>3</v>
      </c>
    </row>
    <row r="39" spans="1:7" x14ac:dyDescent="0.25">
      <c r="A39" s="836" t="s">
        <v>43</v>
      </c>
      <c r="B39" s="837" t="s">
        <v>44</v>
      </c>
      <c r="C39" s="843"/>
      <c r="D39" s="839">
        <v>1</v>
      </c>
      <c r="E39" s="840">
        <v>6</v>
      </c>
      <c r="F39" s="841">
        <v>28</v>
      </c>
      <c r="G39" s="842"/>
    </row>
    <row r="40" spans="1:7" x14ac:dyDescent="0.25">
      <c r="A40" s="836" t="s">
        <v>43</v>
      </c>
      <c r="B40" s="837" t="s">
        <v>44</v>
      </c>
      <c r="C40" s="843" t="s">
        <v>45</v>
      </c>
      <c r="D40" s="839">
        <v>1</v>
      </c>
      <c r="E40" s="840">
        <v>6</v>
      </c>
      <c r="F40" s="841">
        <v>56</v>
      </c>
      <c r="G40" s="842">
        <v>7</v>
      </c>
    </row>
    <row r="41" spans="1:7" x14ac:dyDescent="0.25">
      <c r="A41" s="836" t="s">
        <v>43</v>
      </c>
      <c r="B41" s="837" t="s">
        <v>44</v>
      </c>
      <c r="C41" s="843"/>
      <c r="D41" s="839">
        <v>1</v>
      </c>
      <c r="E41" s="840">
        <v>6</v>
      </c>
      <c r="F41" s="841">
        <v>112</v>
      </c>
      <c r="G41" s="842">
        <v>3</v>
      </c>
    </row>
    <row r="42" spans="1:7" x14ac:dyDescent="0.25">
      <c r="A42" s="844" t="s">
        <v>43</v>
      </c>
      <c r="B42" s="845" t="s">
        <v>44</v>
      </c>
      <c r="C42" s="863"/>
      <c r="D42" s="893">
        <v>1</v>
      </c>
      <c r="E42" s="848">
        <v>6</v>
      </c>
      <c r="F42" s="849">
        <v>224</v>
      </c>
      <c r="G42" s="850">
        <v>1</v>
      </c>
    </row>
    <row r="43" spans="1:7" x14ac:dyDescent="0.25">
      <c r="A43" s="824" t="s">
        <v>46</v>
      </c>
      <c r="B43" s="825" t="s">
        <v>47</v>
      </c>
      <c r="C43" s="876"/>
      <c r="D43" s="877"/>
      <c r="E43" s="876"/>
      <c r="F43" s="822">
        <v>62.5</v>
      </c>
      <c r="G43" s="823">
        <v>76</v>
      </c>
    </row>
    <row r="44" spans="1:7" x14ac:dyDescent="0.25">
      <c r="A44" s="824" t="s">
        <v>46</v>
      </c>
      <c r="B44" s="825" t="s">
        <v>47</v>
      </c>
      <c r="C44" s="876"/>
      <c r="D44" s="877"/>
      <c r="E44" s="876"/>
      <c r="F44" s="822">
        <v>125</v>
      </c>
      <c r="G44" s="823">
        <v>38</v>
      </c>
    </row>
    <row r="45" spans="1:7" x14ac:dyDescent="0.25">
      <c r="A45" s="824" t="s">
        <v>46</v>
      </c>
      <c r="B45" s="825" t="s">
        <v>47</v>
      </c>
      <c r="C45" s="876"/>
      <c r="D45" s="877"/>
      <c r="E45" s="876"/>
      <c r="F45" s="822">
        <v>250</v>
      </c>
      <c r="G45" s="823">
        <v>19</v>
      </c>
    </row>
    <row r="46" spans="1:7" x14ac:dyDescent="0.25">
      <c r="A46" s="824" t="s">
        <v>46</v>
      </c>
      <c r="B46" s="825" t="s">
        <v>47</v>
      </c>
      <c r="C46" s="876"/>
      <c r="D46" s="877"/>
      <c r="E46" s="876"/>
      <c r="F46" s="822">
        <v>500</v>
      </c>
      <c r="G46" s="823">
        <v>9</v>
      </c>
    </row>
    <row r="47" spans="1:7" x14ac:dyDescent="0.25">
      <c r="A47" s="824" t="s">
        <v>46</v>
      </c>
      <c r="B47" s="825" t="s">
        <v>47</v>
      </c>
      <c r="C47" s="876"/>
      <c r="D47" s="877"/>
      <c r="E47" s="876"/>
      <c r="F47" s="822">
        <v>750</v>
      </c>
      <c r="G47" s="823">
        <v>4</v>
      </c>
    </row>
    <row r="48" spans="1:7" x14ac:dyDescent="0.25">
      <c r="A48" s="824" t="s">
        <v>46</v>
      </c>
      <c r="B48" s="825" t="s">
        <v>47</v>
      </c>
      <c r="C48" s="878" t="s">
        <v>48</v>
      </c>
      <c r="D48" s="877"/>
      <c r="E48" s="876"/>
      <c r="F48" s="822">
        <v>1000</v>
      </c>
      <c r="G48" s="823">
        <v>3</v>
      </c>
    </row>
    <row r="49" spans="1:7" x14ac:dyDescent="0.25">
      <c r="A49" s="824" t="s">
        <v>46</v>
      </c>
      <c r="B49" s="825" t="s">
        <v>47</v>
      </c>
      <c r="C49" s="876"/>
      <c r="D49" s="877"/>
      <c r="E49" s="876"/>
      <c r="F49" s="822">
        <v>1250</v>
      </c>
      <c r="G49" s="823">
        <v>2</v>
      </c>
    </row>
    <row r="50" spans="1:7" x14ac:dyDescent="0.25">
      <c r="A50" s="824" t="s">
        <v>46</v>
      </c>
      <c r="B50" s="825" t="s">
        <v>47</v>
      </c>
      <c r="C50" s="876"/>
      <c r="D50" s="877"/>
      <c r="E50" s="876"/>
      <c r="F50" s="822">
        <v>1500</v>
      </c>
      <c r="G50" s="823">
        <v>2</v>
      </c>
    </row>
    <row r="51" spans="1:7" x14ac:dyDescent="0.25">
      <c r="A51" s="824" t="s">
        <v>46</v>
      </c>
      <c r="B51" s="825" t="s">
        <v>47</v>
      </c>
      <c r="C51" s="876"/>
      <c r="D51" s="877"/>
      <c r="E51" s="876"/>
      <c r="F51" s="822">
        <v>1750</v>
      </c>
      <c r="G51" s="823">
        <v>2</v>
      </c>
    </row>
    <row r="52" spans="1:7" x14ac:dyDescent="0.25">
      <c r="A52" s="824" t="s">
        <v>46</v>
      </c>
      <c r="B52" s="825" t="s">
        <v>47</v>
      </c>
      <c r="C52" s="876"/>
      <c r="D52" s="877"/>
      <c r="E52" s="876"/>
      <c r="F52" s="822">
        <v>2000</v>
      </c>
      <c r="G52" s="823">
        <v>2</v>
      </c>
    </row>
    <row r="53" spans="1:7" ht="15.75" thickBot="1" x14ac:dyDescent="0.3">
      <c r="A53" s="879" t="s">
        <v>46</v>
      </c>
      <c r="B53" s="880" t="s">
        <v>47</v>
      </c>
      <c r="C53" s="881"/>
      <c r="D53" s="882"/>
      <c r="E53" s="881"/>
      <c r="F53" s="883">
        <v>2250</v>
      </c>
      <c r="G53" s="884">
        <v>2</v>
      </c>
    </row>
  </sheetData>
  <mergeCells count="2">
    <mergeCell ref="B2:B4"/>
    <mergeCell ref="D2:E2"/>
  </mergeCells>
  <phoneticPr fontId="44" type="noConversion"/>
  <hyperlinks>
    <hyperlink ref="D2" r:id="rId1" display="https://docdb.cept.org/document/129" xr:uid="{989F05E6-FAB7-4168-920C-1CF3548CB8A6}"/>
    <hyperlink ref="B14" location="H7GHz!A1" display="U7G" xr:uid="{B7E6520B-79F6-46CD-8132-B7FBFE5946CF}"/>
    <hyperlink ref="B15" location="'8GHz'!A1" display="8G" xr:uid="{5BFA9F39-1393-4FD9-8103-433A65FF737F}"/>
    <hyperlink ref="B20" location="'13GHz'!A1" display="13G" xr:uid="{D7FEEFA5-29D7-48C6-91CB-486D17BBB7F9}"/>
    <hyperlink ref="B5" location="L6GHz!A1" display="L6G" xr:uid="{4ABAFACC-DB72-480F-8B70-9DF7F8C5C464}"/>
    <hyperlink ref="B6" location="L6GHz!A1" display="L6G" xr:uid="{22DC36EE-FE1A-41EA-B025-D4CD76517B7D}"/>
    <hyperlink ref="B7" location="H6GHz!A1" display="H6G" xr:uid="{0CF2A81E-3EE6-4EED-A779-2FFCBC9BA77D}"/>
    <hyperlink ref="B8:B11" location="H6GHz!A1" display="H6G" xr:uid="{3E769B6F-B23F-4759-BF65-39D5FC47609F}"/>
    <hyperlink ref="B16:B18" location="'8GHz'!A1" display="8G" xr:uid="{DA89972C-7CDA-456D-B933-7781B0CA4411}"/>
    <hyperlink ref="B19" location="H10GHz!A1" display="H10G" xr:uid="{93B68379-714F-4D53-A593-55BE6781F892}"/>
    <hyperlink ref="B21:B24" location="'13GHz'!A1" display="13G" xr:uid="{D5D92C5F-4B27-4164-9D08-E82D8A1C825D}"/>
    <hyperlink ref="B25" location="'18GHz'!A1" display="18G" xr:uid="{8AC7FC41-8FA7-4158-9128-72E8C4627C93}"/>
    <hyperlink ref="B26:B29" location="'18GHz'!A1" display="18G" xr:uid="{75A451DA-79E0-4AF6-8FD0-F08A278C0A3C}"/>
    <hyperlink ref="B30" location="'23GHz'!A1" display="23G" xr:uid="{402B45B6-658A-40A5-9DAE-133EA90CB8C5}"/>
    <hyperlink ref="B31:B33" location="'23GHz'!A1" display="23G" xr:uid="{7F9BE2FA-F574-4FC9-9781-328E237D4F62}"/>
    <hyperlink ref="B12:B13" location="H7GHz!A1" display="U7G" xr:uid="{E9004902-0056-4B9A-85DB-2491966E1076}"/>
    <hyperlink ref="B34:B36" location="'28GHz'!A1" display="28G" xr:uid="{14657C2A-5DFC-4BD2-9EBD-7950C0F24BBF}"/>
    <hyperlink ref="B37:B38" location="'32GHz'!A1" display="32G" xr:uid="{88E4EFED-2482-4CCE-96A7-6B3DD149DEA0}"/>
    <hyperlink ref="C12" r:id="rId2" display="https://www.itu.int/dms_pubrec/itu-r/rec/f/R-REC-F.385-6-199409-S!!PDF-E.pdf" xr:uid="{8D1D5359-3DEC-4FF9-82E7-FFF80C308F0F}"/>
    <hyperlink ref="C19" r:id="rId3" display="Referanse CEPT/ERC/REC 12-05 E" xr:uid="{80B1DE77-18CA-41F7-928D-29F9F71D0BED}"/>
    <hyperlink ref="C35" r:id="rId4" display="CEPT TR13-02E" xr:uid="{758556DE-842D-4233-A415-D6E5842794C7}"/>
    <hyperlink ref="B9" location="H6GHz!A1" display="H6G" xr:uid="{27C834D1-9414-42B1-A697-B9F837886DB3}"/>
    <hyperlink ref="B10" location="H6GHz!A1" display="H6G" xr:uid="{A5C8F69B-47F3-447C-8883-70D20629CC3B}"/>
    <hyperlink ref="B43" location="'71_76 og 81_86 GHz'!A1" display="70/80G" xr:uid="{9BAED8F0-C219-4DBE-A82D-9ACDE7AB68A4}"/>
    <hyperlink ref="C48" r:id="rId5" xr:uid="{7C933876-AC82-4FBD-96D6-40D57D1215C9}"/>
    <hyperlink ref="B44:B53" location="'71_76 og 81_86 GHz'!A1" display="70/80G" xr:uid="{72BBC7D6-BBF4-4C4D-BDBE-2A039B0EEA7E}"/>
    <hyperlink ref="C31" r:id="rId6" xr:uid="{B0CC2DD7-0D08-400D-898E-9C7A1F23ED42}"/>
    <hyperlink ref="B39" location="'38GHz'!A1" display="38G" xr:uid="{E783E3C5-8272-4887-A10A-07C6469CEC93}"/>
    <hyperlink ref="B40" location="'38GHz'!A1" display="38G" xr:uid="{1BB00CD9-7B4E-40B9-A3F7-D5652AF8C3C9}"/>
    <hyperlink ref="B41" location="'38GHz'!A1" display="38G" xr:uid="{16CB3F94-84D2-4D77-AFDA-57563EBE474D}"/>
    <hyperlink ref="B42" location="'38GHz'!A1" display="38G" xr:uid="{D4473A54-816C-4B48-8CF5-176EF0126BF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D2F0-A57A-4273-8D21-8FED84FD4752}">
  <sheetPr codeName="Ark9"/>
  <dimension ref="A1:Q84"/>
  <sheetViews>
    <sheetView zoomScale="80" zoomScaleNormal="80" workbookViewId="0">
      <pane ySplit="4" topLeftCell="A59" activePane="bottomLeft" state="frozenSplit"/>
      <selection pane="bottomLeft" activeCell="Q1" sqref="Q1"/>
    </sheetView>
  </sheetViews>
  <sheetFormatPr baseColWidth="10" defaultColWidth="11.42578125" defaultRowHeight="15" x14ac:dyDescent="0.25"/>
  <cols>
    <col min="1" max="2" width="6.7109375" customWidth="1"/>
    <col min="3" max="3" width="2.140625" bestFit="1" customWidth="1"/>
    <col min="4" max="6" width="6.7109375" customWidth="1"/>
    <col min="7" max="7" width="2.140625" bestFit="1" customWidth="1"/>
    <col min="8" max="10" width="6.7109375" customWidth="1"/>
    <col min="11" max="11" width="2.140625" bestFit="1" customWidth="1"/>
    <col min="12" max="14" width="6.7109375" customWidth="1"/>
    <col min="15" max="15" width="2.140625" bestFit="1" customWidth="1"/>
    <col min="16" max="16" width="6.7109375" customWidth="1"/>
    <col min="17" max="17" width="27.85546875" bestFit="1" customWidth="1"/>
  </cols>
  <sheetData>
    <row r="1" spans="1:17" ht="18.75" x14ac:dyDescent="0.3">
      <c r="E1" s="471" t="s">
        <v>135</v>
      </c>
      <c r="Q1" s="800" t="s">
        <v>50</v>
      </c>
    </row>
    <row r="2" spans="1:17" ht="18.75" x14ac:dyDescent="0.3">
      <c r="E2" s="471" t="s">
        <v>136</v>
      </c>
    </row>
    <row r="3" spans="1:17" ht="15.75" thickBot="1" x14ac:dyDescent="0.3"/>
    <row r="4" spans="1:17" ht="15.75" thickBot="1" x14ac:dyDescent="0.3">
      <c r="A4" s="948" t="s">
        <v>137</v>
      </c>
      <c r="B4" s="949"/>
      <c r="C4" s="949"/>
      <c r="D4" s="950"/>
      <c r="E4" s="951" t="s">
        <v>138</v>
      </c>
      <c r="F4" s="949"/>
      <c r="G4" s="949"/>
      <c r="H4" s="950"/>
      <c r="I4" s="951" t="s">
        <v>139</v>
      </c>
      <c r="J4" s="949"/>
      <c r="K4" s="949"/>
      <c r="L4" s="950"/>
      <c r="M4" s="949" t="s">
        <v>140</v>
      </c>
      <c r="N4" s="949"/>
      <c r="O4" s="949"/>
      <c r="P4" s="952"/>
      <c r="Q4" s="381" t="s">
        <v>141</v>
      </c>
    </row>
    <row r="5" spans="1:17" ht="15.75" x14ac:dyDescent="0.25">
      <c r="A5" s="449">
        <v>1</v>
      </c>
      <c r="B5" s="170">
        <f>8200-298.5+7*A5</f>
        <v>7908.5</v>
      </c>
      <c r="C5" s="450" t="s">
        <v>106</v>
      </c>
      <c r="D5" s="228">
        <f>8200+11.5+7*A5</f>
        <v>8218.5</v>
      </c>
      <c r="E5" s="451"/>
      <c r="F5" s="104"/>
      <c r="G5" s="452"/>
      <c r="H5" s="453"/>
      <c r="I5" s="454"/>
      <c r="J5" s="104"/>
      <c r="K5" s="452"/>
      <c r="L5" s="105"/>
      <c r="M5" s="455"/>
      <c r="N5" s="170"/>
      <c r="O5" s="456"/>
      <c r="P5" s="228"/>
      <c r="Q5" s="457"/>
    </row>
    <row r="6" spans="1:17" x14ac:dyDescent="0.25">
      <c r="A6" s="37"/>
      <c r="B6" s="38"/>
      <c r="C6" s="42"/>
      <c r="D6" s="231"/>
      <c r="E6" s="37">
        <v>1</v>
      </c>
      <c r="F6" s="38">
        <f>8200-302+14*E6</f>
        <v>7912</v>
      </c>
      <c r="G6" s="450" t="s">
        <v>106</v>
      </c>
      <c r="H6" s="41">
        <f>8200+8+14*E6</f>
        <v>8222</v>
      </c>
      <c r="I6" s="40"/>
      <c r="J6" s="38"/>
      <c r="K6" s="42"/>
      <c r="L6" s="41"/>
      <c r="M6" s="458"/>
      <c r="N6" s="38"/>
      <c r="O6" s="42"/>
      <c r="P6" s="231"/>
      <c r="Q6" s="459"/>
    </row>
    <row r="7" spans="1:17" x14ac:dyDescent="0.25">
      <c r="A7" s="37">
        <f>A5+1</f>
        <v>2</v>
      </c>
      <c r="B7" s="38">
        <f>8200-298.5+7*A7</f>
        <v>7915.5</v>
      </c>
      <c r="C7" s="42"/>
      <c r="D7" s="231">
        <f>8200+11.5+7*A7</f>
        <v>8225.5</v>
      </c>
      <c r="E7" s="37"/>
      <c r="F7" s="38"/>
      <c r="G7" s="42"/>
      <c r="H7" s="41"/>
      <c r="I7" s="40"/>
      <c r="J7" s="38"/>
      <c r="K7" s="42"/>
      <c r="L7" s="41"/>
      <c r="M7" s="458"/>
      <c r="N7" s="38"/>
      <c r="O7" s="42"/>
      <c r="P7" s="231"/>
      <c r="Q7" s="459"/>
    </row>
    <row r="8" spans="1:17" x14ac:dyDescent="0.25">
      <c r="A8" s="37"/>
      <c r="B8" s="38"/>
      <c r="C8" s="42"/>
      <c r="D8" s="231"/>
      <c r="E8" s="37"/>
      <c r="F8" s="38"/>
      <c r="G8" s="42"/>
      <c r="H8" s="41"/>
      <c r="I8" s="40">
        <v>1</v>
      </c>
      <c r="J8" s="38">
        <f>8200-309+28*I8</f>
        <v>7919</v>
      </c>
      <c r="K8" s="450" t="s">
        <v>106</v>
      </c>
      <c r="L8" s="41">
        <f>8200+1+28*I8</f>
        <v>8229</v>
      </c>
      <c r="M8" s="458"/>
      <c r="N8" s="38"/>
      <c r="O8" s="42"/>
      <c r="P8" s="231"/>
      <c r="Q8" s="459"/>
    </row>
    <row r="9" spans="1:17" x14ac:dyDescent="0.25">
      <c r="A9" s="37">
        <f>A7+1</f>
        <v>3</v>
      </c>
      <c r="B9" s="38">
        <f>8200-298.5+7*A9</f>
        <v>7922.5</v>
      </c>
      <c r="C9" s="42"/>
      <c r="D9" s="231">
        <f>8200+11.5+7*A9</f>
        <v>8232.5</v>
      </c>
      <c r="E9" s="37"/>
      <c r="F9" s="38"/>
      <c r="G9" s="42"/>
      <c r="H9" s="41"/>
      <c r="I9" s="40"/>
      <c r="J9" s="38"/>
      <c r="K9" s="42"/>
      <c r="L9" s="41"/>
      <c r="M9" s="458"/>
      <c r="N9" s="38"/>
      <c r="O9" s="42"/>
      <c r="P9" s="231"/>
      <c r="Q9" s="459"/>
    </row>
    <row r="10" spans="1:17" x14ac:dyDescent="0.25">
      <c r="A10" s="37"/>
      <c r="B10" s="38"/>
      <c r="C10" s="42"/>
      <c r="D10" s="231"/>
      <c r="E10" s="37">
        <f>E6+1</f>
        <v>2</v>
      </c>
      <c r="F10" s="38">
        <f>8200-302+14*E10</f>
        <v>7926</v>
      </c>
      <c r="G10" s="42"/>
      <c r="H10" s="41">
        <f>8200+8+14*E10</f>
        <v>8236</v>
      </c>
      <c r="I10" s="40"/>
      <c r="J10" s="38"/>
      <c r="K10" s="42"/>
      <c r="L10" s="41"/>
      <c r="M10" s="458"/>
      <c r="N10" s="38"/>
      <c r="O10" s="42"/>
      <c r="P10" s="231"/>
      <c r="Q10" s="460" t="s">
        <v>142</v>
      </c>
    </row>
    <row r="11" spans="1:17" x14ac:dyDescent="0.25">
      <c r="A11" s="37">
        <f>A9+1</f>
        <v>4</v>
      </c>
      <c r="B11" s="38">
        <f>8200-298.5+7*A11</f>
        <v>7929.5</v>
      </c>
      <c r="C11" s="42"/>
      <c r="D11" s="231">
        <f>8200+11.5+7*A11</f>
        <v>8239.5</v>
      </c>
      <c r="E11" s="37"/>
      <c r="F11" s="38"/>
      <c r="G11" s="42"/>
      <c r="H11" s="41"/>
      <c r="I11" s="40"/>
      <c r="J11" s="38"/>
      <c r="K11" s="42"/>
      <c r="L11" s="41"/>
      <c r="M11" s="458"/>
      <c r="N11" s="38"/>
      <c r="O11" s="42"/>
      <c r="P11" s="231"/>
      <c r="Q11" s="460" t="s">
        <v>143</v>
      </c>
    </row>
    <row r="12" spans="1:17" x14ac:dyDescent="0.25">
      <c r="A12" s="37"/>
      <c r="B12" s="38"/>
      <c r="C12" s="42"/>
      <c r="D12" s="231"/>
      <c r="E12" s="37"/>
      <c r="F12" s="38"/>
      <c r="G12" s="42"/>
      <c r="H12" s="41"/>
      <c r="I12" s="40"/>
      <c r="J12" s="38"/>
      <c r="K12" s="42"/>
      <c r="L12" s="41"/>
      <c r="M12" s="458">
        <v>1</v>
      </c>
      <c r="N12" s="38">
        <f>8200-295+28*M12</f>
        <v>7933</v>
      </c>
      <c r="O12" s="450" t="s">
        <v>106</v>
      </c>
      <c r="P12" s="231">
        <f>8200+15+28*M12</f>
        <v>8243</v>
      </c>
      <c r="Q12" s="460" t="s">
        <v>144</v>
      </c>
    </row>
    <row r="13" spans="1:17" x14ac:dyDescent="0.25">
      <c r="A13" s="37">
        <f>A11+1</f>
        <v>5</v>
      </c>
      <c r="B13" s="38">
        <f>8200-298.5+7*A13</f>
        <v>7936.5</v>
      </c>
      <c r="C13" s="42"/>
      <c r="D13" s="231">
        <f>8200+11.5+7*A13</f>
        <v>8246.5</v>
      </c>
      <c r="E13" s="37"/>
      <c r="F13" s="38"/>
      <c r="G13" s="42"/>
      <c r="H13" s="41"/>
      <c r="I13" s="40"/>
      <c r="J13" s="38"/>
      <c r="K13" s="42"/>
      <c r="L13" s="41"/>
      <c r="M13" s="458"/>
      <c r="N13" s="38"/>
      <c r="O13" s="42"/>
      <c r="P13" s="231"/>
      <c r="Q13" s="459"/>
    </row>
    <row r="14" spans="1:17" x14ac:dyDescent="0.25">
      <c r="A14" s="37"/>
      <c r="B14" s="38"/>
      <c r="C14" s="42"/>
      <c r="D14" s="231"/>
      <c r="E14" s="37">
        <f>E10+1</f>
        <v>3</v>
      </c>
      <c r="F14" s="38">
        <f>8200-302+14*E14</f>
        <v>7940</v>
      </c>
      <c r="G14" s="42"/>
      <c r="H14" s="41">
        <f>8200+8+14*E14</f>
        <v>8250</v>
      </c>
      <c r="I14" s="40"/>
      <c r="J14" s="38"/>
      <c r="K14" s="42"/>
      <c r="L14" s="41"/>
      <c r="M14" s="458"/>
      <c r="N14" s="38"/>
      <c r="O14" s="42"/>
      <c r="P14" s="231"/>
      <c r="Q14" s="459"/>
    </row>
    <row r="15" spans="1:17" x14ac:dyDescent="0.25">
      <c r="A15" s="37">
        <f>A13+1</f>
        <v>6</v>
      </c>
      <c r="B15" s="38">
        <f>8200-298.5+7*A15</f>
        <v>7943.5</v>
      </c>
      <c r="C15" s="42"/>
      <c r="D15" s="231">
        <f>8200+11.5+7*A15</f>
        <v>8253.5</v>
      </c>
      <c r="E15" s="37"/>
      <c r="F15" s="38"/>
      <c r="G15" s="42"/>
      <c r="H15" s="41"/>
      <c r="I15" s="40"/>
      <c r="J15" s="38"/>
      <c r="K15" s="42"/>
      <c r="L15" s="41"/>
      <c r="M15" s="458"/>
      <c r="N15" s="38"/>
      <c r="O15" s="42"/>
      <c r="P15" s="231"/>
      <c r="Q15" s="459"/>
    </row>
    <row r="16" spans="1:17" x14ac:dyDescent="0.25">
      <c r="A16" s="37"/>
      <c r="B16" s="38"/>
      <c r="C16" s="42"/>
      <c r="D16" s="231"/>
      <c r="E16" s="37"/>
      <c r="F16" s="38"/>
      <c r="G16" s="42"/>
      <c r="H16" s="41"/>
      <c r="I16" s="40">
        <f>I8+1</f>
        <v>2</v>
      </c>
      <c r="J16" s="38">
        <f>8200-309+28*I16</f>
        <v>7947</v>
      </c>
      <c r="K16" s="42"/>
      <c r="L16" s="41">
        <f>8200+1+28*I16</f>
        <v>8257</v>
      </c>
      <c r="M16" s="458"/>
      <c r="N16" s="38"/>
      <c r="O16" s="42"/>
      <c r="P16" s="231"/>
      <c r="Q16" s="459"/>
    </row>
    <row r="17" spans="1:17" x14ac:dyDescent="0.25">
      <c r="A17" s="37">
        <f>A15+1</f>
        <v>7</v>
      </c>
      <c r="B17" s="38">
        <f>8200-298.5+7*A17</f>
        <v>7950.5</v>
      </c>
      <c r="C17" s="42"/>
      <c r="D17" s="231">
        <f>8200+11.5+7*A17</f>
        <v>8260.5</v>
      </c>
      <c r="E17" s="37"/>
      <c r="F17" s="38"/>
      <c r="G17" s="42"/>
      <c r="H17" s="41"/>
      <c r="I17" s="40"/>
      <c r="J17" s="38"/>
      <c r="K17" s="42"/>
      <c r="L17" s="41"/>
      <c r="M17" s="458"/>
      <c r="N17" s="38"/>
      <c r="O17" s="42"/>
      <c r="P17" s="231"/>
      <c r="Q17" s="459"/>
    </row>
    <row r="18" spans="1:17" x14ac:dyDescent="0.25">
      <c r="A18" s="37"/>
      <c r="B18" s="38"/>
      <c r="C18" s="42"/>
      <c r="D18" s="231"/>
      <c r="E18" s="37">
        <f>E14+1</f>
        <v>4</v>
      </c>
      <c r="F18" s="38">
        <f>8200-302+14*E18</f>
        <v>7954</v>
      </c>
      <c r="G18" s="42"/>
      <c r="H18" s="41">
        <f>8200+8+14*E18</f>
        <v>8264</v>
      </c>
      <c r="I18" s="40"/>
      <c r="J18" s="38"/>
      <c r="K18" s="42"/>
      <c r="L18" s="41"/>
      <c r="M18" s="458"/>
      <c r="N18" s="38"/>
      <c r="O18" s="42"/>
      <c r="P18" s="231"/>
      <c r="Q18" s="459"/>
    </row>
    <row r="19" spans="1:17" x14ac:dyDescent="0.25">
      <c r="A19" s="37">
        <f>A17+1</f>
        <v>8</v>
      </c>
      <c r="B19" s="38">
        <f>8200-298.5+7*A19</f>
        <v>7957.5</v>
      </c>
      <c r="C19" s="42"/>
      <c r="D19" s="231">
        <f>8200+11.5+7*A19</f>
        <v>8267.5</v>
      </c>
      <c r="E19" s="37"/>
      <c r="F19" s="38"/>
      <c r="G19" s="42"/>
      <c r="H19" s="41"/>
      <c r="I19" s="40"/>
      <c r="J19" s="38"/>
      <c r="K19" s="42"/>
      <c r="L19" s="41"/>
      <c r="M19" s="458"/>
      <c r="N19" s="38"/>
      <c r="O19" s="42"/>
      <c r="P19" s="231"/>
      <c r="Q19" s="459"/>
    </row>
    <row r="20" spans="1:17" x14ac:dyDescent="0.25">
      <c r="A20" s="37"/>
      <c r="B20" s="38"/>
      <c r="C20" s="42"/>
      <c r="D20" s="231"/>
      <c r="E20" s="37"/>
      <c r="F20" s="38"/>
      <c r="G20" s="42"/>
      <c r="H20" s="41"/>
      <c r="I20" s="40"/>
      <c r="J20" s="38"/>
      <c r="K20" s="42"/>
      <c r="L20" s="41"/>
      <c r="M20" s="458">
        <v>2</v>
      </c>
      <c r="N20" s="38">
        <f>8200-295+28*M20</f>
        <v>7961</v>
      </c>
      <c r="O20" s="42"/>
      <c r="P20" s="231">
        <f>8200+15+28*M20</f>
        <v>8271</v>
      </c>
      <c r="Q20" s="459"/>
    </row>
    <row r="21" spans="1:17" x14ac:dyDescent="0.25">
      <c r="A21" s="37">
        <f>A19+1</f>
        <v>9</v>
      </c>
      <c r="B21" s="38">
        <f>8200-298.5+7*A21</f>
        <v>7964.5</v>
      </c>
      <c r="C21" s="42"/>
      <c r="D21" s="231">
        <f>8200+11.5+7*A21</f>
        <v>8274.5</v>
      </c>
      <c r="E21" s="37"/>
      <c r="F21" s="38"/>
      <c r="G21" s="42"/>
      <c r="H21" s="41"/>
      <c r="I21" s="40"/>
      <c r="J21" s="38"/>
      <c r="K21" s="42"/>
      <c r="L21" s="41"/>
      <c r="M21" s="458"/>
      <c r="N21" s="38"/>
      <c r="O21" s="42"/>
      <c r="P21" s="231"/>
      <c r="Q21" s="459"/>
    </row>
    <row r="22" spans="1:17" x14ac:dyDescent="0.25">
      <c r="A22" s="37"/>
      <c r="B22" s="38"/>
      <c r="C22" s="42"/>
      <c r="D22" s="231"/>
      <c r="E22" s="37">
        <f>E18+1</f>
        <v>5</v>
      </c>
      <c r="F22" s="38">
        <f>8200-302+14*E22</f>
        <v>7968</v>
      </c>
      <c r="G22" s="42"/>
      <c r="H22" s="41">
        <f>8200+8+14*E22</f>
        <v>8278</v>
      </c>
      <c r="I22" s="40"/>
      <c r="J22" s="38"/>
      <c r="K22" s="42"/>
      <c r="L22" s="41"/>
      <c r="M22" s="458"/>
      <c r="N22" s="38"/>
      <c r="O22" s="42"/>
      <c r="P22" s="231"/>
      <c r="Q22" s="459"/>
    </row>
    <row r="23" spans="1:17" x14ac:dyDescent="0.25">
      <c r="A23" s="37">
        <f>A21+1</f>
        <v>10</v>
      </c>
      <c r="B23" s="38">
        <f>8200-298.5+7*A23</f>
        <v>7971.5</v>
      </c>
      <c r="C23" s="42"/>
      <c r="D23" s="231">
        <f>8200+11.5+7*A23</f>
        <v>8281.5</v>
      </c>
      <c r="E23" s="37"/>
      <c r="F23" s="38"/>
      <c r="G23" s="42"/>
      <c r="H23" s="41"/>
      <c r="I23" s="40"/>
      <c r="J23" s="38"/>
      <c r="K23" s="42"/>
      <c r="L23" s="41"/>
      <c r="M23" s="458"/>
      <c r="N23" s="38"/>
      <c r="O23" s="42"/>
      <c r="P23" s="231"/>
      <c r="Q23" s="459"/>
    </row>
    <row r="24" spans="1:17" x14ac:dyDescent="0.25">
      <c r="A24" s="37"/>
      <c r="B24" s="38"/>
      <c r="C24" s="42"/>
      <c r="D24" s="231"/>
      <c r="E24" s="37"/>
      <c r="F24" s="38"/>
      <c r="G24" s="42"/>
      <c r="H24" s="41"/>
      <c r="I24" s="40">
        <f>I16+1</f>
        <v>3</v>
      </c>
      <c r="J24" s="38">
        <f>8200-309+28*I24</f>
        <v>7975</v>
      </c>
      <c r="K24" s="42"/>
      <c r="L24" s="41">
        <f>8200+1+28*I24</f>
        <v>8285</v>
      </c>
      <c r="M24" s="458"/>
      <c r="N24" s="38"/>
      <c r="O24" s="42"/>
      <c r="P24" s="231"/>
      <c r="Q24" s="459"/>
    </row>
    <row r="25" spans="1:17" x14ac:dyDescent="0.25">
      <c r="A25" s="37">
        <f>A23+1</f>
        <v>11</v>
      </c>
      <c r="B25" s="38">
        <f>8200-298.5+7*A25</f>
        <v>7978.5</v>
      </c>
      <c r="C25" s="42"/>
      <c r="D25" s="231">
        <f>8200+11.5+7*A25</f>
        <v>8288.5</v>
      </c>
      <c r="E25" s="37"/>
      <c r="F25" s="38"/>
      <c r="G25" s="42"/>
      <c r="H25" s="41"/>
      <c r="I25" s="40"/>
      <c r="J25" s="38"/>
      <c r="K25" s="42"/>
      <c r="L25" s="41"/>
      <c r="M25" s="458"/>
      <c r="N25" s="38"/>
      <c r="O25" s="42"/>
      <c r="P25" s="231"/>
      <c r="Q25" s="459"/>
    </row>
    <row r="26" spans="1:17" x14ac:dyDescent="0.25">
      <c r="A26" s="37"/>
      <c r="B26" s="38"/>
      <c r="C26" s="42"/>
      <c r="D26" s="231"/>
      <c r="E26" s="37">
        <f>E22+1</f>
        <v>6</v>
      </c>
      <c r="F26" s="38">
        <f>8200-302+14*E26</f>
        <v>7982</v>
      </c>
      <c r="G26" s="42"/>
      <c r="H26" s="41">
        <f>8200+8+14*E26</f>
        <v>8292</v>
      </c>
      <c r="I26" s="40"/>
      <c r="J26" s="38"/>
      <c r="K26" s="42"/>
      <c r="L26" s="41"/>
      <c r="M26" s="458"/>
      <c r="N26" s="38"/>
      <c r="O26" s="42"/>
      <c r="P26" s="231"/>
      <c r="Q26" s="459"/>
    </row>
    <row r="27" spans="1:17" x14ac:dyDescent="0.25">
      <c r="A27" s="37">
        <f>A25+1</f>
        <v>12</v>
      </c>
      <c r="B27" s="38">
        <f>8200-298.5+7*A27</f>
        <v>7985.5</v>
      </c>
      <c r="C27" s="42"/>
      <c r="D27" s="231">
        <f>8200+11.5+7*A27</f>
        <v>8295.5</v>
      </c>
      <c r="E27" s="37"/>
      <c r="F27" s="38"/>
      <c r="G27" s="42"/>
      <c r="H27" s="41"/>
      <c r="I27" s="40"/>
      <c r="J27" s="38"/>
      <c r="K27" s="42"/>
      <c r="L27" s="41"/>
      <c r="M27" s="458"/>
      <c r="N27" s="38"/>
      <c r="O27" s="42"/>
      <c r="P27" s="231"/>
      <c r="Q27" s="459"/>
    </row>
    <row r="28" spans="1:17" x14ac:dyDescent="0.25">
      <c r="A28" s="37"/>
      <c r="B28" s="38"/>
      <c r="C28" s="42"/>
      <c r="D28" s="231"/>
      <c r="E28" s="37"/>
      <c r="F28" s="38"/>
      <c r="G28" s="42"/>
      <c r="H28" s="41"/>
      <c r="I28" s="40"/>
      <c r="J28" s="38"/>
      <c r="K28" s="42"/>
      <c r="L28" s="41"/>
      <c r="M28" s="458">
        <v>3</v>
      </c>
      <c r="N28" s="38">
        <f>8200-295+28*M28</f>
        <v>7989</v>
      </c>
      <c r="O28" s="42"/>
      <c r="P28" s="231">
        <f>8200+15+28*M28</f>
        <v>8299</v>
      </c>
      <c r="Q28" s="459"/>
    </row>
    <row r="29" spans="1:17" x14ac:dyDescent="0.25">
      <c r="A29" s="37">
        <f>A27+1</f>
        <v>13</v>
      </c>
      <c r="B29" s="38">
        <f>8200-298.5+7*A29</f>
        <v>7992.5</v>
      </c>
      <c r="C29" s="42"/>
      <c r="D29" s="231">
        <f>8200+11.5+7*A29</f>
        <v>8302.5</v>
      </c>
      <c r="E29" s="37"/>
      <c r="F29" s="38"/>
      <c r="G29" s="42"/>
      <c r="H29" s="41"/>
      <c r="I29" s="40"/>
      <c r="J29" s="38"/>
      <c r="K29" s="42"/>
      <c r="L29" s="41"/>
      <c r="M29" s="458"/>
      <c r="N29" s="38"/>
      <c r="O29" s="42"/>
      <c r="P29" s="231"/>
      <c r="Q29" s="459"/>
    </row>
    <row r="30" spans="1:17" x14ac:dyDescent="0.25">
      <c r="A30" s="37"/>
      <c r="B30" s="38"/>
      <c r="C30" s="42"/>
      <c r="D30" s="231"/>
      <c r="E30" s="37">
        <f>E26+1</f>
        <v>7</v>
      </c>
      <c r="F30" s="38">
        <f>8200-302+14*E30</f>
        <v>7996</v>
      </c>
      <c r="G30" s="42"/>
      <c r="H30" s="41">
        <f>8200+8+14*E30</f>
        <v>8306</v>
      </c>
      <c r="I30" s="40"/>
      <c r="J30" s="38"/>
      <c r="K30" s="42"/>
      <c r="L30" s="41"/>
      <c r="M30" s="458"/>
      <c r="N30" s="38"/>
      <c r="O30" s="42"/>
      <c r="P30" s="231"/>
      <c r="Q30" s="459"/>
    </row>
    <row r="31" spans="1:17" x14ac:dyDescent="0.25">
      <c r="A31" s="37">
        <f>A29+1</f>
        <v>14</v>
      </c>
      <c r="B31" s="38">
        <f>8200-298.5+7*A31</f>
        <v>7999.5</v>
      </c>
      <c r="C31" s="42"/>
      <c r="D31" s="231">
        <f>8200+11.5+7*A31</f>
        <v>8309.5</v>
      </c>
      <c r="E31" s="37"/>
      <c r="F31" s="38"/>
      <c r="G31" s="42"/>
      <c r="H31" s="41"/>
      <c r="I31" s="40"/>
      <c r="J31" s="38"/>
      <c r="K31" s="42"/>
      <c r="L31" s="41"/>
      <c r="M31" s="458"/>
      <c r="N31" s="38"/>
      <c r="O31" s="42"/>
      <c r="P31" s="231"/>
      <c r="Q31" s="459"/>
    </row>
    <row r="32" spans="1:17" x14ac:dyDescent="0.25">
      <c r="A32" s="37"/>
      <c r="B32" s="38"/>
      <c r="C32" s="42"/>
      <c r="D32" s="231"/>
      <c r="E32" s="37"/>
      <c r="F32" s="38"/>
      <c r="G32" s="42"/>
      <c r="H32" s="41"/>
      <c r="I32" s="40">
        <f>I24+1</f>
        <v>4</v>
      </c>
      <c r="J32" s="38">
        <f>8200-309+28*I32</f>
        <v>8003</v>
      </c>
      <c r="K32" s="42"/>
      <c r="L32" s="41">
        <f>8200+1+28*I32</f>
        <v>8313</v>
      </c>
      <c r="M32" s="458"/>
      <c r="N32" s="38"/>
      <c r="O32" s="42"/>
      <c r="P32" s="231"/>
      <c r="Q32" s="459"/>
    </row>
    <row r="33" spans="1:17" x14ac:dyDescent="0.25">
      <c r="A33" s="37">
        <f>A31+1</f>
        <v>15</v>
      </c>
      <c r="B33" s="38">
        <f>8200-298.5+7*A33</f>
        <v>8006.5</v>
      </c>
      <c r="C33" s="42"/>
      <c r="D33" s="231">
        <f>8200+11.5+7*A33</f>
        <v>8316.5</v>
      </c>
      <c r="E33" s="37"/>
      <c r="F33" s="38"/>
      <c r="G33" s="42"/>
      <c r="H33" s="41"/>
      <c r="I33" s="40"/>
      <c r="J33" s="38"/>
      <c r="K33" s="42"/>
      <c r="L33" s="41"/>
      <c r="M33" s="458"/>
      <c r="N33" s="38"/>
      <c r="O33" s="42"/>
      <c r="P33" s="231"/>
      <c r="Q33" s="459"/>
    </row>
    <row r="34" spans="1:17" x14ac:dyDescent="0.25">
      <c r="A34" s="37"/>
      <c r="B34" s="38"/>
      <c r="C34" s="42"/>
      <c r="D34" s="231"/>
      <c r="E34" s="37">
        <f>E30+1</f>
        <v>8</v>
      </c>
      <c r="F34" s="38">
        <f>8200-302+14*E34</f>
        <v>8010</v>
      </c>
      <c r="G34" s="42"/>
      <c r="H34" s="41">
        <f>8200+8+14*E34</f>
        <v>8320</v>
      </c>
      <c r="I34" s="40"/>
      <c r="J34" s="38"/>
      <c r="K34" s="42"/>
      <c r="L34" s="41"/>
      <c r="M34" s="458"/>
      <c r="N34" s="38"/>
      <c r="O34" s="42"/>
      <c r="P34" s="231"/>
      <c r="Q34" s="459"/>
    </row>
    <row r="35" spans="1:17" x14ac:dyDescent="0.25">
      <c r="A35" s="37">
        <f>A33+1</f>
        <v>16</v>
      </c>
      <c r="B35" s="38">
        <f>8200-298.5+7*A35</f>
        <v>8013.5</v>
      </c>
      <c r="C35" s="42"/>
      <c r="D35" s="231">
        <f>8200+11.5+7*A35</f>
        <v>8323.5</v>
      </c>
      <c r="E35" s="37"/>
      <c r="F35" s="38"/>
      <c r="G35" s="42"/>
      <c r="H35" s="41"/>
      <c r="I35" s="40"/>
      <c r="J35" s="38"/>
      <c r="K35" s="42"/>
      <c r="L35" s="41"/>
      <c r="M35" s="458"/>
      <c r="N35" s="38"/>
      <c r="O35" s="42"/>
      <c r="P35" s="231"/>
      <c r="Q35" s="459"/>
    </row>
    <row r="36" spans="1:17" x14ac:dyDescent="0.25">
      <c r="A36" s="37"/>
      <c r="B36" s="38"/>
      <c r="C36" s="42"/>
      <c r="D36" s="231"/>
      <c r="E36" s="37"/>
      <c r="F36" s="38"/>
      <c r="G36" s="42"/>
      <c r="H36" s="41"/>
      <c r="I36" s="40"/>
      <c r="J36" s="38"/>
      <c r="K36" s="42"/>
      <c r="L36" s="41"/>
      <c r="M36" s="458">
        <v>4</v>
      </c>
      <c r="N36" s="38">
        <f>8200-295+28*M36</f>
        <v>8017</v>
      </c>
      <c r="O36" s="42"/>
      <c r="P36" s="231">
        <f>8200+15+28*M36</f>
        <v>8327</v>
      </c>
      <c r="Q36" s="459"/>
    </row>
    <row r="37" spans="1:17" x14ac:dyDescent="0.25">
      <c r="A37" s="37">
        <f>A35+1</f>
        <v>17</v>
      </c>
      <c r="B37" s="38">
        <f>8200-298.5+7*A37</f>
        <v>8020.5</v>
      </c>
      <c r="C37" s="42"/>
      <c r="D37" s="231">
        <f>8200+11.5+7*A37</f>
        <v>8330.5</v>
      </c>
      <c r="E37" s="37"/>
      <c r="F37" s="38"/>
      <c r="G37" s="42"/>
      <c r="H37" s="41"/>
      <c r="I37" s="40"/>
      <c r="J37" s="38"/>
      <c r="K37" s="42"/>
      <c r="L37" s="41"/>
      <c r="M37" s="458"/>
      <c r="N37" s="38"/>
      <c r="O37" s="42"/>
      <c r="P37" s="231"/>
      <c r="Q37" s="459"/>
    </row>
    <row r="38" spans="1:17" x14ac:dyDescent="0.25">
      <c r="A38" s="37"/>
      <c r="B38" s="38"/>
      <c r="C38" s="42"/>
      <c r="D38" s="231"/>
      <c r="E38" s="37">
        <f>E34+1</f>
        <v>9</v>
      </c>
      <c r="F38" s="38">
        <f>8200-302+14*E38</f>
        <v>8024</v>
      </c>
      <c r="G38" s="42"/>
      <c r="H38" s="41">
        <f>8200+8+14*E38</f>
        <v>8334</v>
      </c>
      <c r="I38" s="40"/>
      <c r="J38" s="38"/>
      <c r="K38" s="42"/>
      <c r="L38" s="41"/>
      <c r="M38" s="458"/>
      <c r="N38" s="38"/>
      <c r="O38" s="42"/>
      <c r="P38" s="231"/>
      <c r="Q38" s="459"/>
    </row>
    <row r="39" spans="1:17" x14ac:dyDescent="0.25">
      <c r="A39" s="37">
        <f>A37+1</f>
        <v>18</v>
      </c>
      <c r="B39" s="38">
        <f>8200-298.5+7*A39</f>
        <v>8027.5</v>
      </c>
      <c r="C39" s="42"/>
      <c r="D39" s="231">
        <f>8200+11.5+7*A39</f>
        <v>8337.5</v>
      </c>
      <c r="E39" s="37"/>
      <c r="F39" s="38"/>
      <c r="G39" s="42"/>
      <c r="H39" s="41"/>
      <c r="I39" s="40"/>
      <c r="J39" s="38"/>
      <c r="K39" s="42"/>
      <c r="L39" s="41"/>
      <c r="M39" s="458"/>
      <c r="N39" s="38"/>
      <c r="O39" s="42"/>
      <c r="P39" s="231"/>
      <c r="Q39" s="470"/>
    </row>
    <row r="40" spans="1:17" x14ac:dyDescent="0.25">
      <c r="A40" s="37"/>
      <c r="B40" s="38"/>
      <c r="C40" s="42"/>
      <c r="D40" s="231"/>
      <c r="E40" s="37"/>
      <c r="F40" s="38"/>
      <c r="G40" s="42"/>
      <c r="H40" s="41"/>
      <c r="I40" s="40">
        <f>I32+1</f>
        <v>5</v>
      </c>
      <c r="J40" s="38">
        <f>8200-309+28*I40</f>
        <v>8031</v>
      </c>
      <c r="K40" s="42"/>
      <c r="L40" s="41">
        <f>8200+1+28*I40</f>
        <v>8341</v>
      </c>
      <c r="M40" s="458"/>
      <c r="N40" s="38"/>
      <c r="O40" s="42"/>
      <c r="P40" s="231"/>
      <c r="Q40" s="459"/>
    </row>
    <row r="41" spans="1:17" x14ac:dyDescent="0.25">
      <c r="A41" s="37">
        <f>A39+1</f>
        <v>19</v>
      </c>
      <c r="B41" s="38">
        <f>8200-298.5+7*A41</f>
        <v>8034.5</v>
      </c>
      <c r="C41" s="42"/>
      <c r="D41" s="231">
        <f>8200+11.5+7*A41</f>
        <v>8344.5</v>
      </c>
      <c r="E41" s="37"/>
      <c r="F41" s="38"/>
      <c r="G41" s="42"/>
      <c r="H41" s="41"/>
      <c r="I41" s="40"/>
      <c r="J41" s="38"/>
      <c r="K41" s="42"/>
      <c r="L41" s="41"/>
      <c r="M41" s="458"/>
      <c r="N41" s="38"/>
      <c r="O41" s="42"/>
      <c r="P41" s="231"/>
      <c r="Q41" s="459"/>
    </row>
    <row r="42" spans="1:17" x14ac:dyDescent="0.25">
      <c r="A42" s="37"/>
      <c r="B42" s="38"/>
      <c r="C42" s="42"/>
      <c r="D42" s="231"/>
      <c r="E42" s="37">
        <f>E38+1</f>
        <v>10</v>
      </c>
      <c r="F42" s="38">
        <f>8200-302+14*E42</f>
        <v>8038</v>
      </c>
      <c r="G42" s="42"/>
      <c r="H42" s="41">
        <f>8200+8+14*E42</f>
        <v>8348</v>
      </c>
      <c r="I42" s="40"/>
      <c r="J42" s="38"/>
      <c r="K42" s="42"/>
      <c r="L42" s="41"/>
      <c r="M42" s="458"/>
      <c r="N42" s="38"/>
      <c r="O42" s="42"/>
      <c r="P42" s="231"/>
      <c r="Q42" s="459"/>
    </row>
    <row r="43" spans="1:17" x14ac:dyDescent="0.25">
      <c r="A43" s="37">
        <f>A41+1</f>
        <v>20</v>
      </c>
      <c r="B43" s="38">
        <f>8200-298.5+7*A43</f>
        <v>8041.5</v>
      </c>
      <c r="C43" s="42"/>
      <c r="D43" s="231">
        <f>8200+11.5+7*A43</f>
        <v>8351.5</v>
      </c>
      <c r="E43" s="37"/>
      <c r="F43" s="38"/>
      <c r="G43" s="42"/>
      <c r="H43" s="41"/>
      <c r="I43" s="40"/>
      <c r="J43" s="38"/>
      <c r="K43" s="42"/>
      <c r="L43" s="41"/>
      <c r="M43" s="458"/>
      <c r="N43" s="38"/>
      <c r="O43" s="42"/>
      <c r="P43" s="231"/>
      <c r="Q43" s="459"/>
    </row>
    <row r="44" spans="1:17" x14ac:dyDescent="0.25">
      <c r="A44" s="37"/>
      <c r="B44" s="38"/>
      <c r="C44" s="42"/>
      <c r="D44" s="231"/>
      <c r="E44" s="37"/>
      <c r="F44" s="38"/>
      <c r="G44" s="42"/>
      <c r="H44" s="41"/>
      <c r="I44" s="40"/>
      <c r="J44" s="38"/>
      <c r="K44" s="42"/>
      <c r="L44" s="41"/>
      <c r="M44" s="458">
        <v>5</v>
      </c>
      <c r="N44" s="38">
        <f>8200-295+28*M44</f>
        <v>8045</v>
      </c>
      <c r="O44" s="42"/>
      <c r="P44" s="231">
        <f>8200+15+28*M44</f>
        <v>8355</v>
      </c>
      <c r="Q44" s="459"/>
    </row>
    <row r="45" spans="1:17" x14ac:dyDescent="0.25">
      <c r="A45" s="37">
        <v>21</v>
      </c>
      <c r="B45" s="38">
        <f>8200-298.5+7*A45</f>
        <v>8048.5</v>
      </c>
      <c r="C45" s="42"/>
      <c r="D45" s="231">
        <f>8200+11.5+7*A45</f>
        <v>8358.5</v>
      </c>
      <c r="E45" s="37"/>
      <c r="F45" s="38"/>
      <c r="G45" s="42"/>
      <c r="H45" s="41"/>
      <c r="I45" s="40"/>
      <c r="J45" s="38"/>
      <c r="K45" s="42"/>
      <c r="L45" s="41"/>
      <c r="M45" s="458"/>
      <c r="N45" s="38"/>
      <c r="O45" s="42"/>
      <c r="P45" s="231"/>
      <c r="Q45" s="459"/>
    </row>
    <row r="46" spans="1:17" x14ac:dyDescent="0.25">
      <c r="A46" s="37"/>
      <c r="B46" s="38"/>
      <c r="C46" s="42"/>
      <c r="D46" s="231"/>
      <c r="E46" s="37">
        <v>11</v>
      </c>
      <c r="F46" s="38">
        <f>8200-302+14*E46</f>
        <v>8052</v>
      </c>
      <c r="G46" s="42"/>
      <c r="H46" s="41">
        <f>8200+8+14*E46</f>
        <v>8362</v>
      </c>
      <c r="I46" s="40"/>
      <c r="J46" s="38"/>
      <c r="K46" s="42"/>
      <c r="L46" s="41"/>
      <c r="M46" s="458"/>
      <c r="N46" s="38"/>
      <c r="O46" s="42"/>
      <c r="P46" s="231"/>
      <c r="Q46" s="459"/>
    </row>
    <row r="47" spans="1:17" x14ac:dyDescent="0.25">
      <c r="A47" s="37">
        <v>22</v>
      </c>
      <c r="B47" s="38">
        <f>8200-298.5+7*A47</f>
        <v>8055.5</v>
      </c>
      <c r="C47" s="42"/>
      <c r="D47" s="231">
        <f>8200+11.5+7*A47</f>
        <v>8365.5</v>
      </c>
      <c r="E47" s="37"/>
      <c r="F47" s="38"/>
      <c r="G47" s="42"/>
      <c r="H47" s="41"/>
      <c r="I47" s="40"/>
      <c r="J47" s="38"/>
      <c r="K47" s="42"/>
      <c r="L47" s="41"/>
      <c r="M47" s="458"/>
      <c r="N47" s="38"/>
      <c r="O47" s="42"/>
      <c r="P47" s="231"/>
      <c r="Q47" s="459"/>
    </row>
    <row r="48" spans="1:17" x14ac:dyDescent="0.25">
      <c r="A48" s="37"/>
      <c r="B48" s="38"/>
      <c r="C48" s="42"/>
      <c r="D48" s="231"/>
      <c r="E48" s="37"/>
      <c r="F48" s="38"/>
      <c r="G48" s="42"/>
      <c r="H48" s="41"/>
      <c r="I48" s="40">
        <v>6</v>
      </c>
      <c r="J48" s="38">
        <f>8200-309+28*I48</f>
        <v>8059</v>
      </c>
      <c r="K48" s="42"/>
      <c r="L48" s="41">
        <f>8200+1+28*I48</f>
        <v>8369</v>
      </c>
      <c r="M48" s="458"/>
      <c r="N48" s="38"/>
      <c r="O48" s="42"/>
      <c r="P48" s="231"/>
      <c r="Q48" s="459"/>
    </row>
    <row r="49" spans="1:17" x14ac:dyDescent="0.25">
      <c r="A49" s="37">
        <v>23</v>
      </c>
      <c r="B49" s="38">
        <f>8200-298.5+7*A49</f>
        <v>8062.5</v>
      </c>
      <c r="C49" s="42"/>
      <c r="D49" s="231">
        <f>8200+11.5+7*A49</f>
        <v>8372.5</v>
      </c>
      <c r="E49" s="37"/>
      <c r="F49" s="38"/>
      <c r="G49" s="42"/>
      <c r="H49" s="41"/>
      <c r="I49" s="40"/>
      <c r="J49" s="38"/>
      <c r="K49" s="42"/>
      <c r="L49" s="41"/>
      <c r="M49" s="458"/>
      <c r="N49" s="38"/>
      <c r="O49" s="42"/>
      <c r="P49" s="231"/>
      <c r="Q49" s="459"/>
    </row>
    <row r="50" spans="1:17" x14ac:dyDescent="0.25">
      <c r="A50" s="37"/>
      <c r="B50" s="38"/>
      <c r="C50" s="42"/>
      <c r="D50" s="231"/>
      <c r="E50" s="37">
        <v>12</v>
      </c>
      <c r="F50" s="38">
        <f>8200-302+14*E50</f>
        <v>8066</v>
      </c>
      <c r="G50" s="42"/>
      <c r="H50" s="41">
        <f>8200+8+14*E50</f>
        <v>8376</v>
      </c>
      <c r="I50" s="40"/>
      <c r="J50" s="38"/>
      <c r="K50" s="42"/>
      <c r="L50" s="41"/>
      <c r="M50" s="458"/>
      <c r="N50" s="38"/>
      <c r="O50" s="42"/>
      <c r="P50" s="231"/>
      <c r="Q50" s="459"/>
    </row>
    <row r="51" spans="1:17" x14ac:dyDescent="0.25">
      <c r="A51" s="37">
        <v>24</v>
      </c>
      <c r="B51" s="38">
        <f>8200-298.5+7*A51</f>
        <v>8069.5</v>
      </c>
      <c r="C51" s="42"/>
      <c r="D51" s="231">
        <f>8200+11.5+7*A51</f>
        <v>8379.5</v>
      </c>
      <c r="E51" s="37"/>
      <c r="F51" s="38"/>
      <c r="G51" s="42"/>
      <c r="H51" s="41"/>
      <c r="I51" s="40"/>
      <c r="J51" s="38"/>
      <c r="K51" s="42"/>
      <c r="L51" s="41"/>
      <c r="M51" s="458"/>
      <c r="N51" s="38"/>
      <c r="O51" s="42"/>
      <c r="P51" s="231"/>
      <c r="Q51" s="459"/>
    </row>
    <row r="52" spans="1:17" x14ac:dyDescent="0.25">
      <c r="A52" s="37"/>
      <c r="B52" s="38"/>
      <c r="C52" s="42"/>
      <c r="D52" s="231"/>
      <c r="E52" s="37"/>
      <c r="F52" s="38"/>
      <c r="G52" s="42"/>
      <c r="H52" s="41"/>
      <c r="I52" s="40"/>
      <c r="J52" s="38"/>
      <c r="K52" s="42"/>
      <c r="L52" s="41"/>
      <c r="M52" s="458">
        <v>6</v>
      </c>
      <c r="N52" s="38">
        <f>8200-295+28*M52</f>
        <v>8073</v>
      </c>
      <c r="O52" s="42"/>
      <c r="P52" s="231">
        <f>8200+15+28*M52</f>
        <v>8383</v>
      </c>
      <c r="Q52" s="459"/>
    </row>
    <row r="53" spans="1:17" x14ac:dyDescent="0.25">
      <c r="A53" s="37">
        <v>25</v>
      </c>
      <c r="B53" s="38">
        <f>8200-298.5+7*A53</f>
        <v>8076.5</v>
      </c>
      <c r="C53" s="42"/>
      <c r="D53" s="231">
        <f>8200+11.5+7*A53</f>
        <v>8386.5</v>
      </c>
      <c r="E53" s="37"/>
      <c r="F53" s="38"/>
      <c r="G53" s="42"/>
      <c r="H53" s="41"/>
      <c r="I53" s="40"/>
      <c r="J53" s="38"/>
      <c r="K53" s="42"/>
      <c r="L53" s="41"/>
      <c r="M53" s="458"/>
      <c r="N53" s="38"/>
      <c r="O53" s="42"/>
      <c r="P53" s="231"/>
      <c r="Q53" s="459"/>
    </row>
    <row r="54" spans="1:17" x14ac:dyDescent="0.25">
      <c r="A54" s="37"/>
      <c r="B54" s="38"/>
      <c r="C54" s="42"/>
      <c r="D54" s="231"/>
      <c r="E54" s="37">
        <v>13</v>
      </c>
      <c r="F54" s="38">
        <f>8200-302+14*E54</f>
        <v>8080</v>
      </c>
      <c r="G54" s="42"/>
      <c r="H54" s="41">
        <f>8200+8+14*E54</f>
        <v>8390</v>
      </c>
      <c r="I54" s="40"/>
      <c r="J54" s="38"/>
      <c r="K54" s="42"/>
      <c r="L54" s="41"/>
      <c r="M54" s="458"/>
      <c r="N54" s="38"/>
      <c r="O54" s="42"/>
      <c r="P54" s="231"/>
      <c r="Q54" s="459"/>
    </row>
    <row r="55" spans="1:17" x14ac:dyDescent="0.25">
      <c r="A55" s="37">
        <v>26</v>
      </c>
      <c r="B55" s="38">
        <f>8200-298.5+7*A55</f>
        <v>8083.5</v>
      </c>
      <c r="C55" s="42"/>
      <c r="D55" s="231">
        <f>8200+11.5+7*A55</f>
        <v>8393.5</v>
      </c>
      <c r="E55" s="37"/>
      <c r="F55" s="38"/>
      <c r="G55" s="42"/>
      <c r="H55" s="41"/>
      <c r="I55" s="40"/>
      <c r="J55" s="38"/>
      <c r="K55" s="42"/>
      <c r="L55" s="41"/>
      <c r="M55" s="458"/>
      <c r="N55" s="38"/>
      <c r="O55" s="42"/>
      <c r="P55" s="231"/>
      <c r="Q55" s="459"/>
    </row>
    <row r="56" spans="1:17" x14ac:dyDescent="0.25">
      <c r="A56" s="37"/>
      <c r="B56" s="38"/>
      <c r="C56" s="42"/>
      <c r="D56" s="231"/>
      <c r="E56" s="37"/>
      <c r="F56" s="38"/>
      <c r="G56" s="42"/>
      <c r="H56" s="41"/>
      <c r="I56" s="40">
        <v>7</v>
      </c>
      <c r="J56" s="38">
        <f>8200-309+28*I56</f>
        <v>8087</v>
      </c>
      <c r="K56" s="42"/>
      <c r="L56" s="41">
        <f>8200+1+28*I56</f>
        <v>8397</v>
      </c>
      <c r="M56" s="458"/>
      <c r="N56" s="38"/>
      <c r="O56" s="42"/>
      <c r="P56" s="231"/>
      <c r="Q56" s="459"/>
    </row>
    <row r="57" spans="1:17" x14ac:dyDescent="0.25">
      <c r="A57" s="37">
        <v>27</v>
      </c>
      <c r="B57" s="38">
        <f>8200-298.5+7*A57</f>
        <v>8090.5</v>
      </c>
      <c r="C57" s="42"/>
      <c r="D57" s="231">
        <f>8200+11.5+7*A57</f>
        <v>8400.5</v>
      </c>
      <c r="E57" s="37"/>
      <c r="F57" s="38"/>
      <c r="G57" s="42"/>
      <c r="H57" s="41"/>
      <c r="I57" s="40"/>
      <c r="J57" s="38"/>
      <c r="K57" s="42"/>
      <c r="L57" s="41"/>
      <c r="M57" s="458"/>
      <c r="N57" s="38"/>
      <c r="O57" s="42"/>
      <c r="P57" s="231"/>
      <c r="Q57" s="459"/>
    </row>
    <row r="58" spans="1:17" x14ac:dyDescent="0.25">
      <c r="A58" s="37"/>
      <c r="B58" s="38"/>
      <c r="C58" s="42"/>
      <c r="D58" s="231"/>
      <c r="E58" s="37">
        <v>14</v>
      </c>
      <c r="F58" s="38">
        <f>8200-302+14*E58</f>
        <v>8094</v>
      </c>
      <c r="G58" s="42"/>
      <c r="H58" s="41">
        <f>8200+8+14*E58</f>
        <v>8404</v>
      </c>
      <c r="I58" s="40"/>
      <c r="J58" s="38"/>
      <c r="K58" s="42"/>
      <c r="L58" s="41"/>
      <c r="M58" s="458"/>
      <c r="N58" s="38"/>
      <c r="O58" s="42"/>
      <c r="P58" s="231"/>
      <c r="Q58" s="459"/>
    </row>
    <row r="59" spans="1:17" x14ac:dyDescent="0.25">
      <c r="A59" s="37">
        <v>28</v>
      </c>
      <c r="B59" s="38">
        <f>8200-298.5+7*A59</f>
        <v>8097.5</v>
      </c>
      <c r="C59" s="42"/>
      <c r="D59" s="231">
        <f>8200+11.5+7*A59</f>
        <v>8407.5</v>
      </c>
      <c r="E59" s="37"/>
      <c r="F59" s="38"/>
      <c r="G59" s="42"/>
      <c r="H59" s="41"/>
      <c r="I59" s="40"/>
      <c r="J59" s="38"/>
      <c r="K59" s="42"/>
      <c r="L59" s="41"/>
      <c r="M59" s="458"/>
      <c r="N59" s="38"/>
      <c r="O59" s="42"/>
      <c r="P59" s="231"/>
      <c r="Q59" s="459"/>
    </row>
    <row r="60" spans="1:17" x14ac:dyDescent="0.25">
      <c r="A60" s="37"/>
      <c r="B60" s="38"/>
      <c r="C60" s="42"/>
      <c r="D60" s="231"/>
      <c r="E60" s="37"/>
      <c r="F60" s="38"/>
      <c r="G60" s="42"/>
      <c r="H60" s="41"/>
      <c r="I60" s="40"/>
      <c r="J60" s="38"/>
      <c r="K60" s="42"/>
      <c r="L60" s="41"/>
      <c r="M60" s="458">
        <v>7</v>
      </c>
      <c r="N60" s="38">
        <f>8200-295+28*M60</f>
        <v>8101</v>
      </c>
      <c r="O60" s="42"/>
      <c r="P60" s="231">
        <f>8200+15+28*M60</f>
        <v>8411</v>
      </c>
      <c r="Q60" s="459"/>
    </row>
    <row r="61" spans="1:17" x14ac:dyDescent="0.25">
      <c r="A61" s="37">
        <v>29</v>
      </c>
      <c r="B61" s="38">
        <f>8200-298.5+7*A61</f>
        <v>8104.5</v>
      </c>
      <c r="C61" s="42"/>
      <c r="D61" s="231">
        <f>8200+11.5+7*A61</f>
        <v>8414.5</v>
      </c>
      <c r="E61" s="37"/>
      <c r="F61" s="38"/>
      <c r="G61" s="42"/>
      <c r="H61" s="41"/>
      <c r="I61" s="40"/>
      <c r="J61" s="38"/>
      <c r="K61" s="42"/>
      <c r="L61" s="41"/>
      <c r="M61" s="458"/>
      <c r="N61" s="38"/>
      <c r="O61" s="42"/>
      <c r="P61" s="231"/>
      <c r="Q61" s="459"/>
    </row>
    <row r="62" spans="1:17" x14ac:dyDescent="0.25">
      <c r="A62" s="37"/>
      <c r="B62" s="38"/>
      <c r="C62" s="42"/>
      <c r="D62" s="231"/>
      <c r="E62" s="37">
        <v>15</v>
      </c>
      <c r="F62" s="38">
        <f>8200-302+14*E62</f>
        <v>8108</v>
      </c>
      <c r="G62" s="42"/>
      <c r="H62" s="41">
        <f>8200+8+14*E62</f>
        <v>8418</v>
      </c>
      <c r="I62" s="40"/>
      <c r="J62" s="38"/>
      <c r="K62" s="42"/>
      <c r="L62" s="41"/>
      <c r="M62" s="458"/>
      <c r="N62" s="38"/>
      <c r="O62" s="42"/>
      <c r="P62" s="231"/>
      <c r="Q62" s="459"/>
    </row>
    <row r="63" spans="1:17" x14ac:dyDescent="0.25">
      <c r="A63" s="37">
        <v>30</v>
      </c>
      <c r="B63" s="38">
        <f>8200-298.5+7*A63</f>
        <v>8111.5</v>
      </c>
      <c r="C63" s="42"/>
      <c r="D63" s="231">
        <f>8200+11.5+7*A63</f>
        <v>8421.5</v>
      </c>
      <c r="E63" s="37"/>
      <c r="F63" s="38"/>
      <c r="G63" s="42"/>
      <c r="H63" s="41"/>
      <c r="I63" s="40"/>
      <c r="J63" s="38"/>
      <c r="K63" s="42"/>
      <c r="L63" s="41"/>
      <c r="M63" s="458"/>
      <c r="N63" s="38"/>
      <c r="O63" s="42"/>
      <c r="P63" s="231"/>
      <c r="Q63" s="459"/>
    </row>
    <row r="64" spans="1:17" x14ac:dyDescent="0.25">
      <c r="A64" s="37"/>
      <c r="B64" s="38"/>
      <c r="C64" s="42"/>
      <c r="D64" s="231"/>
      <c r="E64" s="37"/>
      <c r="F64" s="38"/>
      <c r="G64" s="42"/>
      <c r="H64" s="41"/>
      <c r="I64" s="40">
        <v>8</v>
      </c>
      <c r="J64" s="38">
        <f>8200-309+28*I64</f>
        <v>8115</v>
      </c>
      <c r="K64" s="42"/>
      <c r="L64" s="41">
        <f>8200+1+28*I64</f>
        <v>8425</v>
      </c>
      <c r="M64" s="458"/>
      <c r="N64" s="38"/>
      <c r="O64" s="42"/>
      <c r="P64" s="231"/>
      <c r="Q64" s="459"/>
    </row>
    <row r="65" spans="1:17" x14ac:dyDescent="0.25">
      <c r="A65" s="37">
        <v>31</v>
      </c>
      <c r="B65" s="38">
        <f>8200-298.5+7*A65</f>
        <v>8118.5</v>
      </c>
      <c r="C65" s="42"/>
      <c r="D65" s="231">
        <f>8200+11.5+7*A65</f>
        <v>8428.5</v>
      </c>
      <c r="E65" s="37"/>
      <c r="F65" s="38"/>
      <c r="G65" s="42"/>
      <c r="H65" s="41"/>
      <c r="I65" s="40"/>
      <c r="J65" s="38"/>
      <c r="K65" s="42"/>
      <c r="L65" s="41"/>
      <c r="M65" s="458"/>
      <c r="N65" s="38"/>
      <c r="O65" s="42"/>
      <c r="P65" s="231"/>
      <c r="Q65" s="459"/>
    </row>
    <row r="66" spans="1:17" x14ac:dyDescent="0.25">
      <c r="A66" s="37"/>
      <c r="B66" s="38"/>
      <c r="C66" s="42"/>
      <c r="D66" s="231"/>
      <c r="E66" s="37">
        <v>16</v>
      </c>
      <c r="F66" s="38">
        <f>8200-302+14*E66</f>
        <v>8122</v>
      </c>
      <c r="G66" s="42"/>
      <c r="H66" s="41">
        <f>8200+8+14*E66</f>
        <v>8432</v>
      </c>
      <c r="I66" s="40"/>
      <c r="J66" s="38"/>
      <c r="K66" s="42"/>
      <c r="L66" s="41"/>
      <c r="M66" s="458"/>
      <c r="N66" s="38"/>
      <c r="O66" s="42"/>
      <c r="P66" s="231"/>
      <c r="Q66" s="459"/>
    </row>
    <row r="67" spans="1:17" x14ac:dyDescent="0.25">
      <c r="A67" s="37">
        <v>32</v>
      </c>
      <c r="B67" s="38">
        <f>8200-298.5+7*A67</f>
        <v>8125.5</v>
      </c>
      <c r="C67" s="42"/>
      <c r="D67" s="231">
        <f>8200+11.5+7*A67</f>
        <v>8435.5</v>
      </c>
      <c r="E67" s="37"/>
      <c r="F67" s="38"/>
      <c r="G67" s="42"/>
      <c r="H67" s="41"/>
      <c r="I67" s="40"/>
      <c r="J67" s="38"/>
      <c r="K67" s="42"/>
      <c r="L67" s="41"/>
      <c r="M67" s="458"/>
      <c r="N67" s="38"/>
      <c r="O67" s="42"/>
      <c r="P67" s="231"/>
      <c r="Q67" s="459"/>
    </row>
    <row r="68" spans="1:17" x14ac:dyDescent="0.25">
      <c r="A68" s="37"/>
      <c r="B68" s="38"/>
      <c r="C68" s="42"/>
      <c r="D68" s="231"/>
      <c r="E68" s="37"/>
      <c r="F68" s="38"/>
      <c r="G68" s="42"/>
      <c r="H68" s="41"/>
      <c r="I68" s="40"/>
      <c r="J68" s="38"/>
      <c r="K68" s="42"/>
      <c r="L68" s="41"/>
      <c r="M68" s="458">
        <v>8</v>
      </c>
      <c r="N68" s="38">
        <f>8200-295+28*M68</f>
        <v>8129</v>
      </c>
      <c r="O68" s="42"/>
      <c r="P68" s="231">
        <f>8200+15+28*M68</f>
        <v>8439</v>
      </c>
      <c r="Q68" s="459"/>
    </row>
    <row r="69" spans="1:17" x14ac:dyDescent="0.25">
      <c r="A69" s="37">
        <v>33</v>
      </c>
      <c r="B69" s="38">
        <f>8200-298.5+7*A69</f>
        <v>8132.5</v>
      </c>
      <c r="C69" s="42"/>
      <c r="D69" s="231">
        <f>8200+11.5+7*A69</f>
        <v>8442.5</v>
      </c>
      <c r="E69" s="37"/>
      <c r="F69" s="38"/>
      <c r="G69" s="42"/>
      <c r="H69" s="41"/>
      <c r="I69" s="40"/>
      <c r="J69" s="38"/>
      <c r="K69" s="42"/>
      <c r="L69" s="41"/>
      <c r="M69" s="458"/>
      <c r="N69" s="38"/>
      <c r="O69" s="42"/>
      <c r="P69" s="231"/>
      <c r="Q69" s="459"/>
    </row>
    <row r="70" spans="1:17" x14ac:dyDescent="0.25">
      <c r="A70" s="37"/>
      <c r="B70" s="38"/>
      <c r="C70" s="42"/>
      <c r="D70" s="231"/>
      <c r="E70" s="37">
        <v>17</v>
      </c>
      <c r="F70" s="38">
        <f>8200-302+14*E70</f>
        <v>8136</v>
      </c>
      <c r="G70" s="42"/>
      <c r="H70" s="41">
        <f>8200+8+14*E70</f>
        <v>8446</v>
      </c>
      <c r="I70" s="40"/>
      <c r="J70" s="38"/>
      <c r="K70" s="42"/>
      <c r="L70" s="41"/>
      <c r="M70" s="458"/>
      <c r="N70" s="38"/>
      <c r="O70" s="42"/>
      <c r="P70" s="231"/>
      <c r="Q70" s="459"/>
    </row>
    <row r="71" spans="1:17" x14ac:dyDescent="0.25">
      <c r="A71" s="37">
        <v>34</v>
      </c>
      <c r="B71" s="38">
        <f>8200-298.5+7*A71</f>
        <v>8139.5</v>
      </c>
      <c r="C71" s="42"/>
      <c r="D71" s="231">
        <f>8200+11.5+7*A71</f>
        <v>8449.5</v>
      </c>
      <c r="E71" s="37"/>
      <c r="F71" s="38"/>
      <c r="G71" s="42"/>
      <c r="H71" s="41"/>
      <c r="I71" s="40"/>
      <c r="J71" s="38"/>
      <c r="K71" s="42"/>
      <c r="L71" s="41"/>
      <c r="M71" s="458"/>
      <c r="N71" s="38"/>
      <c r="O71" s="42"/>
      <c r="P71" s="231"/>
      <c r="Q71" s="459"/>
    </row>
    <row r="72" spans="1:17" x14ac:dyDescent="0.25">
      <c r="A72" s="37"/>
      <c r="B72" s="38"/>
      <c r="C72" s="42"/>
      <c r="D72" s="231"/>
      <c r="E72" s="37"/>
      <c r="F72" s="38"/>
      <c r="G72" s="42"/>
      <c r="H72" s="41"/>
      <c r="I72" s="40">
        <v>9</v>
      </c>
      <c r="J72" s="38">
        <f>8200-309+28*I72</f>
        <v>8143</v>
      </c>
      <c r="K72" s="42"/>
      <c r="L72" s="41">
        <f>8200+1+28*I72</f>
        <v>8453</v>
      </c>
      <c r="M72" s="458"/>
      <c r="N72" s="38"/>
      <c r="O72" s="42"/>
      <c r="P72" s="231"/>
      <c r="Q72" s="459"/>
    </row>
    <row r="73" spans="1:17" x14ac:dyDescent="0.25">
      <c r="A73" s="37">
        <v>35</v>
      </c>
      <c r="B73" s="38">
        <f>8200-298.5+7*A73</f>
        <v>8146.5</v>
      </c>
      <c r="C73" s="42"/>
      <c r="D73" s="231">
        <f>8200+11.5+7*A73</f>
        <v>8456.5</v>
      </c>
      <c r="E73" s="37"/>
      <c r="F73" s="38"/>
      <c r="G73" s="42"/>
      <c r="H73" s="41"/>
      <c r="I73" s="40"/>
      <c r="J73" s="38"/>
      <c r="K73" s="42"/>
      <c r="L73" s="41"/>
      <c r="M73" s="458"/>
      <c r="N73" s="38"/>
      <c r="O73" s="42"/>
      <c r="P73" s="231"/>
      <c r="Q73" s="459"/>
    </row>
    <row r="74" spans="1:17" x14ac:dyDescent="0.25">
      <c r="A74" s="37"/>
      <c r="B74" s="38"/>
      <c r="C74" s="42"/>
      <c r="D74" s="231"/>
      <c r="E74" s="37">
        <v>18</v>
      </c>
      <c r="F74" s="38">
        <f>8200-302+14*E74</f>
        <v>8150</v>
      </c>
      <c r="G74" s="42"/>
      <c r="H74" s="41">
        <f>8200+8+14*E74</f>
        <v>8460</v>
      </c>
      <c r="I74" s="40"/>
      <c r="J74" s="38"/>
      <c r="K74" s="42"/>
      <c r="L74" s="41"/>
      <c r="M74" s="458"/>
      <c r="N74" s="38"/>
      <c r="O74" s="42"/>
      <c r="P74" s="231"/>
      <c r="Q74" s="459"/>
    </row>
    <row r="75" spans="1:17" x14ac:dyDescent="0.25">
      <c r="A75" s="37">
        <v>36</v>
      </c>
      <c r="B75" s="38">
        <f>8200-298.5+7*A75</f>
        <v>8153.5</v>
      </c>
      <c r="C75" s="42"/>
      <c r="D75" s="231">
        <f>8200+11.5+7*A75</f>
        <v>8463.5</v>
      </c>
      <c r="E75" s="37"/>
      <c r="F75" s="38"/>
      <c r="G75" s="42"/>
      <c r="H75" s="41"/>
      <c r="I75" s="40"/>
      <c r="J75" s="38"/>
      <c r="K75" s="42"/>
      <c r="L75" s="41"/>
      <c r="M75" s="458"/>
      <c r="N75" s="38"/>
      <c r="O75" s="42"/>
      <c r="P75" s="231"/>
      <c r="Q75" s="459"/>
    </row>
    <row r="76" spans="1:17" x14ac:dyDescent="0.25">
      <c r="A76" s="37"/>
      <c r="B76" s="38"/>
      <c r="C76" s="42"/>
      <c r="D76" s="231"/>
      <c r="E76" s="37"/>
      <c r="F76" s="38"/>
      <c r="G76" s="42"/>
      <c r="H76" s="41"/>
      <c r="I76" s="40"/>
      <c r="J76" s="38"/>
      <c r="K76" s="42"/>
      <c r="L76" s="41"/>
      <c r="M76" s="458">
        <v>9</v>
      </c>
      <c r="N76" s="38">
        <f>8200-295+28*M76</f>
        <v>8157</v>
      </c>
      <c r="O76" s="42"/>
      <c r="P76" s="231">
        <f>8200+15+28*M76</f>
        <v>8467</v>
      </c>
      <c r="Q76" s="459"/>
    </row>
    <row r="77" spans="1:17" x14ac:dyDescent="0.25">
      <c r="A77" s="37">
        <v>37</v>
      </c>
      <c r="B77" s="38">
        <f>8200-298.5+7*A77</f>
        <v>8160.5</v>
      </c>
      <c r="C77" s="42"/>
      <c r="D77" s="231">
        <f>8200+11.5+7*A77</f>
        <v>8470.5</v>
      </c>
      <c r="E77" s="37"/>
      <c r="F77" s="38"/>
      <c r="G77" s="42"/>
      <c r="H77" s="41"/>
      <c r="I77" s="40"/>
      <c r="J77" s="38"/>
      <c r="K77" s="42"/>
      <c r="L77" s="41"/>
      <c r="M77" s="458"/>
      <c r="N77" s="38"/>
      <c r="O77" s="42"/>
      <c r="P77" s="231"/>
      <c r="Q77" s="459"/>
    </row>
    <row r="78" spans="1:17" x14ac:dyDescent="0.25">
      <c r="A78" s="37"/>
      <c r="B78" s="38"/>
      <c r="C78" s="42"/>
      <c r="D78" s="231"/>
      <c r="E78" s="37">
        <v>19</v>
      </c>
      <c r="F78" s="38">
        <f>8200-302+14*E78</f>
        <v>8164</v>
      </c>
      <c r="G78" s="42"/>
      <c r="H78" s="41">
        <f>8200+8+14*E78</f>
        <v>8474</v>
      </c>
      <c r="I78" s="40"/>
      <c r="J78" s="38"/>
      <c r="K78" s="42"/>
      <c r="L78" s="41"/>
      <c r="M78" s="458"/>
      <c r="N78" s="38"/>
      <c r="O78" s="42"/>
      <c r="P78" s="231"/>
      <c r="Q78" s="459"/>
    </row>
    <row r="79" spans="1:17" x14ac:dyDescent="0.25">
      <c r="A79" s="37">
        <v>38</v>
      </c>
      <c r="B79" s="38">
        <f>8200-298.5+7*A79</f>
        <v>8167.5</v>
      </c>
      <c r="C79" s="42"/>
      <c r="D79" s="231">
        <f>8200+11.5+7*A79</f>
        <v>8477.5</v>
      </c>
      <c r="E79" s="37"/>
      <c r="F79" s="38"/>
      <c r="G79" s="42"/>
      <c r="H79" s="41"/>
      <c r="I79" s="40"/>
      <c r="J79" s="38"/>
      <c r="K79" s="42"/>
      <c r="L79" s="41"/>
      <c r="M79" s="458"/>
      <c r="N79" s="38"/>
      <c r="O79" s="42"/>
      <c r="P79" s="231"/>
      <c r="Q79" s="459"/>
    </row>
    <row r="80" spans="1:17" x14ac:dyDescent="0.25">
      <c r="A80" s="37"/>
      <c r="B80" s="38"/>
      <c r="C80" s="42"/>
      <c r="D80" s="231"/>
      <c r="E80" s="37"/>
      <c r="F80" s="38"/>
      <c r="G80" s="42"/>
      <c r="H80" s="41"/>
      <c r="I80" s="40">
        <v>10</v>
      </c>
      <c r="J80" s="38">
        <f>8200-309+28*I80</f>
        <v>8171</v>
      </c>
      <c r="K80" s="42"/>
      <c r="L80" s="41">
        <f>8200+1+28*I80</f>
        <v>8481</v>
      </c>
      <c r="M80" s="458"/>
      <c r="N80" s="38"/>
      <c r="O80" s="42"/>
      <c r="P80" s="231"/>
      <c r="Q80" s="459"/>
    </row>
    <row r="81" spans="1:17" x14ac:dyDescent="0.25">
      <c r="A81" s="37">
        <v>39</v>
      </c>
      <c r="B81" s="38">
        <f>8200-298.5+7*A81</f>
        <v>8174.5</v>
      </c>
      <c r="C81" s="42"/>
      <c r="D81" s="231">
        <f>8200+11.5+7*A81</f>
        <v>8484.5</v>
      </c>
      <c r="E81" s="37"/>
      <c r="F81" s="38"/>
      <c r="G81" s="42"/>
      <c r="H81" s="41"/>
      <c r="I81" s="40"/>
      <c r="J81" s="38"/>
      <c r="K81" s="42"/>
      <c r="L81" s="41"/>
      <c r="M81" s="458"/>
      <c r="N81" s="38"/>
      <c r="O81" s="42"/>
      <c r="P81" s="231"/>
      <c r="Q81" s="459"/>
    </row>
    <row r="82" spans="1:17" x14ac:dyDescent="0.25">
      <c r="A82" s="37"/>
      <c r="B82" s="38"/>
      <c r="C82" s="42"/>
      <c r="D82" s="231"/>
      <c r="E82" s="37">
        <v>20</v>
      </c>
      <c r="F82" s="38">
        <f>8200-302+14*E82</f>
        <v>8178</v>
      </c>
      <c r="G82" s="42"/>
      <c r="H82" s="41">
        <f>8200+8+14*E82</f>
        <v>8488</v>
      </c>
      <c r="I82" s="40"/>
      <c r="J82" s="38"/>
      <c r="K82" s="42"/>
      <c r="L82" s="41"/>
      <c r="M82" s="458"/>
      <c r="N82" s="38"/>
      <c r="O82" s="42"/>
      <c r="P82" s="231"/>
      <c r="Q82" s="459"/>
    </row>
    <row r="83" spans="1:17" x14ac:dyDescent="0.25">
      <c r="A83" s="37">
        <v>40</v>
      </c>
      <c r="B83" s="38">
        <f>8200-298.5+7*A83</f>
        <v>8181.5</v>
      </c>
      <c r="C83" s="42"/>
      <c r="D83" s="231">
        <f>8200+11.5+7*A83</f>
        <v>8491.5</v>
      </c>
      <c r="E83" s="37"/>
      <c r="F83" s="38"/>
      <c r="G83" s="42"/>
      <c r="H83" s="39"/>
      <c r="I83" s="40"/>
      <c r="J83" s="38"/>
      <c r="K83" s="42"/>
      <c r="L83" s="41"/>
      <c r="M83" s="458"/>
      <c r="N83" s="38"/>
      <c r="O83" s="42"/>
      <c r="P83" s="231"/>
      <c r="Q83" s="459"/>
    </row>
    <row r="84" spans="1:17" ht="15.75" thickBot="1" x14ac:dyDescent="0.3">
      <c r="A84" s="461"/>
      <c r="B84" s="462"/>
      <c r="C84" s="463"/>
      <c r="D84" s="464"/>
      <c r="E84" s="461"/>
      <c r="F84" s="462"/>
      <c r="G84" s="463"/>
      <c r="H84" s="465"/>
      <c r="I84" s="466"/>
      <c r="J84" s="462"/>
      <c r="K84" s="463"/>
      <c r="L84" s="467"/>
      <c r="M84" s="468"/>
      <c r="N84" s="462"/>
      <c r="O84" s="463"/>
      <c r="P84" s="464"/>
      <c r="Q84" s="469"/>
    </row>
  </sheetData>
  <mergeCells count="4">
    <mergeCell ref="A4:D4"/>
    <mergeCell ref="E4:H4"/>
    <mergeCell ref="I4:L4"/>
    <mergeCell ref="M4:P4"/>
  </mergeCells>
  <hyperlinks>
    <hyperlink ref="Q1" location="'Oversikt'!A1" display="Oversikt" xr:uid="{FD732F8C-3659-4A8A-8A7E-114860BF2B59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2D1F-3C9E-46C0-BE5E-47FB8082C61C}">
  <sheetPr codeName="Ark10">
    <tabColor theme="4" tint="0.39997558519241921"/>
  </sheetPr>
  <dimension ref="B1:G26"/>
  <sheetViews>
    <sheetView workbookViewId="0">
      <selection activeCell="G1" sqref="G1"/>
    </sheetView>
  </sheetViews>
  <sheetFormatPr baseColWidth="10" defaultColWidth="11.42578125" defaultRowHeight="15" x14ac:dyDescent="0.25"/>
  <cols>
    <col min="4" max="4" width="1.5703125" customWidth="1"/>
    <col min="16" max="16" width="1.85546875" bestFit="1" customWidth="1"/>
  </cols>
  <sheetData>
    <row r="1" spans="2:7" ht="18.75" x14ac:dyDescent="0.3">
      <c r="G1" s="800" t="s">
        <v>50</v>
      </c>
    </row>
    <row r="2" spans="2:7" x14ac:dyDescent="0.25">
      <c r="B2" s="383"/>
    </row>
    <row r="3" spans="2:7" x14ac:dyDescent="0.25">
      <c r="B3" t="s">
        <v>145</v>
      </c>
    </row>
    <row r="4" spans="2:7" x14ac:dyDescent="0.25">
      <c r="B4" s="383"/>
    </row>
    <row r="5" spans="2:7" ht="18" x14ac:dyDescent="0.35">
      <c r="B5" t="s">
        <v>146</v>
      </c>
      <c r="D5" s="146"/>
      <c r="E5" t="s">
        <v>147</v>
      </c>
    </row>
    <row r="6" spans="2:7" ht="18" x14ac:dyDescent="0.35">
      <c r="B6" t="s">
        <v>148</v>
      </c>
      <c r="E6" t="s">
        <v>149</v>
      </c>
    </row>
    <row r="7" spans="2:7" ht="18" x14ac:dyDescent="0.35">
      <c r="B7" t="s">
        <v>150</v>
      </c>
      <c r="E7" t="s">
        <v>151</v>
      </c>
    </row>
    <row r="8" spans="2:7" ht="18.75" x14ac:dyDescent="0.35">
      <c r="B8" t="s">
        <v>152</v>
      </c>
      <c r="E8" t="s">
        <v>153</v>
      </c>
    </row>
    <row r="9" spans="2:7" ht="15.75" thickBot="1" x14ac:dyDescent="0.3"/>
    <row r="10" spans="2:7" ht="15.75" thickBot="1" x14ac:dyDescent="0.3">
      <c r="B10" s="948" t="s">
        <v>139</v>
      </c>
      <c r="C10" s="949"/>
      <c r="D10" s="949"/>
      <c r="E10" s="949"/>
      <c r="F10" s="147" t="s">
        <v>154</v>
      </c>
      <c r="G10" s="148" t="s">
        <v>155</v>
      </c>
    </row>
    <row r="11" spans="2:7" x14ac:dyDescent="0.25">
      <c r="B11" s="384"/>
      <c r="C11" s="129"/>
      <c r="D11" s="129"/>
      <c r="E11" s="392">
        <v>10322</v>
      </c>
      <c r="F11" s="389"/>
      <c r="G11" s="390"/>
    </row>
    <row r="12" spans="2:7" x14ac:dyDescent="0.25">
      <c r="B12" s="384"/>
      <c r="C12" s="129"/>
      <c r="D12" s="129"/>
      <c r="E12" s="129"/>
      <c r="F12" s="389"/>
      <c r="G12" s="390"/>
    </row>
    <row r="13" spans="2:7" x14ac:dyDescent="0.25">
      <c r="B13" s="136"/>
      <c r="C13">
        <v>10000</v>
      </c>
      <c r="E13" s="137">
        <v>10350</v>
      </c>
      <c r="F13" s="136"/>
      <c r="G13" s="150"/>
    </row>
    <row r="14" spans="2:7" ht="15.75" x14ac:dyDescent="0.25">
      <c r="B14" s="136"/>
      <c r="C14" s="393"/>
      <c r="D14" s="393"/>
      <c r="E14" s="393"/>
      <c r="F14" s="136"/>
      <c r="G14" s="150"/>
    </row>
    <row r="15" spans="2:7" x14ac:dyDescent="0.25">
      <c r="B15" s="387"/>
      <c r="C15" s="394">
        <v>10004</v>
      </c>
      <c r="D15" s="391"/>
      <c r="E15" s="388">
        <v>10354</v>
      </c>
      <c r="F15" s="136"/>
      <c r="G15" s="150"/>
    </row>
    <row r="16" spans="2:7" x14ac:dyDescent="0.25">
      <c r="B16" s="533">
        <v>1</v>
      </c>
      <c r="C16" s="534">
        <f>10004+28/2</f>
        <v>10018</v>
      </c>
      <c r="D16" s="535" t="s">
        <v>106</v>
      </c>
      <c r="E16" s="536">
        <f>10354+28/2</f>
        <v>10368</v>
      </c>
      <c r="F16" s="533"/>
      <c r="G16" s="537"/>
    </row>
    <row r="17" spans="2:7" x14ac:dyDescent="0.25">
      <c r="B17" s="533"/>
      <c r="C17" s="538">
        <v>10032</v>
      </c>
      <c r="D17" s="538"/>
      <c r="E17" s="536">
        <f>E15+28</f>
        <v>10382</v>
      </c>
      <c r="F17" s="533" t="s">
        <v>156</v>
      </c>
      <c r="G17" s="537"/>
    </row>
    <row r="18" spans="2:7" x14ac:dyDescent="0.25">
      <c r="B18" s="533">
        <v>2</v>
      </c>
      <c r="C18" s="538">
        <f>10032+28/2</f>
        <v>10046</v>
      </c>
      <c r="D18" s="535" t="s">
        <v>106</v>
      </c>
      <c r="E18" s="536">
        <f>10382+28/2</f>
        <v>10396</v>
      </c>
      <c r="F18" s="533"/>
      <c r="G18" s="537"/>
    </row>
    <row r="19" spans="2:7" x14ac:dyDescent="0.25">
      <c r="B19" s="136"/>
      <c r="C19">
        <v>10060</v>
      </c>
      <c r="E19" s="137">
        <f>C19+350</f>
        <v>10410</v>
      </c>
      <c r="F19" s="136"/>
      <c r="G19" s="150"/>
    </row>
    <row r="20" spans="2:7" x14ac:dyDescent="0.25">
      <c r="B20" s="533">
        <v>3</v>
      </c>
      <c r="C20" s="538">
        <f>10060+28/2</f>
        <v>10074</v>
      </c>
      <c r="D20" s="535" t="s">
        <v>106</v>
      </c>
      <c r="E20" s="536">
        <f>C20+350</f>
        <v>10424</v>
      </c>
      <c r="F20" s="533"/>
      <c r="G20" s="537"/>
    </row>
    <row r="21" spans="2:7" x14ac:dyDescent="0.25">
      <c r="B21" s="533"/>
      <c r="C21" s="538">
        <v>10088</v>
      </c>
      <c r="D21" s="538"/>
      <c r="E21" s="536">
        <f t="shared" ref="E21:E24" si="0">C21+350</f>
        <v>10438</v>
      </c>
      <c r="F21" s="533"/>
      <c r="G21" s="537"/>
    </row>
    <row r="22" spans="2:7" x14ac:dyDescent="0.25">
      <c r="B22" s="533">
        <v>4</v>
      </c>
      <c r="C22" s="538">
        <f>C20+28</f>
        <v>10102</v>
      </c>
      <c r="D22" s="535" t="s">
        <v>106</v>
      </c>
      <c r="E22" s="536">
        <f t="shared" si="0"/>
        <v>10452</v>
      </c>
      <c r="F22" s="533" t="s">
        <v>156</v>
      </c>
      <c r="G22" s="537"/>
    </row>
    <row r="23" spans="2:7" x14ac:dyDescent="0.25">
      <c r="B23" s="533"/>
      <c r="C23" s="538">
        <v>10116</v>
      </c>
      <c r="D23" s="538"/>
      <c r="E23" s="536">
        <f t="shared" si="0"/>
        <v>10466</v>
      </c>
      <c r="F23" s="533"/>
      <c r="G23" s="537"/>
    </row>
    <row r="24" spans="2:7" x14ac:dyDescent="0.25">
      <c r="B24" s="533">
        <v>5</v>
      </c>
      <c r="C24" s="538">
        <f>C22+28</f>
        <v>10130</v>
      </c>
      <c r="D24" s="535" t="s">
        <v>106</v>
      </c>
      <c r="E24" s="536">
        <f t="shared" si="0"/>
        <v>10480</v>
      </c>
      <c r="F24" s="533"/>
      <c r="G24" s="537"/>
    </row>
    <row r="25" spans="2:7" x14ac:dyDescent="0.25">
      <c r="B25" s="533"/>
      <c r="C25" s="538">
        <v>10144</v>
      </c>
      <c r="D25" s="538"/>
      <c r="E25" s="536">
        <f>C25+350</f>
        <v>10494</v>
      </c>
      <c r="F25" s="533"/>
      <c r="G25" s="537"/>
    </row>
    <row r="26" spans="2:7" ht="15.75" thickBot="1" x14ac:dyDescent="0.3">
      <c r="B26" s="138"/>
      <c r="C26" s="385">
        <v>10150</v>
      </c>
      <c r="D26" s="385"/>
      <c r="E26" s="141">
        <f>C26+350</f>
        <v>10500</v>
      </c>
      <c r="F26" s="138"/>
      <c r="G26" s="386"/>
    </row>
  </sheetData>
  <mergeCells count="1">
    <mergeCell ref="B10:E10"/>
  </mergeCells>
  <hyperlinks>
    <hyperlink ref="G1" location="'Oversikt'!A1" display="Oversikt" xr:uid="{2F14F7D9-E07A-42C8-8348-017B83C3D5C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BD3C-CCD4-483D-ABCF-FE03595FE2F4}">
  <sheetPr codeName="Ark11">
    <tabColor theme="5" tint="0.39997558519241921"/>
  </sheetPr>
  <dimension ref="B1:Y109"/>
  <sheetViews>
    <sheetView zoomScale="80" zoomScaleNormal="80" workbookViewId="0">
      <pane ySplit="11" topLeftCell="A77" activePane="bottomLeft" state="frozenSplit"/>
      <selection pane="bottomLeft" activeCell="Y81" sqref="Y81"/>
    </sheetView>
  </sheetViews>
  <sheetFormatPr baseColWidth="10" defaultColWidth="11.42578125" defaultRowHeight="15" x14ac:dyDescent="0.25"/>
  <cols>
    <col min="2" max="2" width="6.42578125" customWidth="1"/>
    <col min="4" max="4" width="2.140625" customWidth="1"/>
    <col min="6" max="6" width="7" customWidth="1"/>
    <col min="8" max="8" width="2.140625" bestFit="1" customWidth="1"/>
    <col min="9" max="9" width="9.28515625" customWidth="1"/>
    <col min="10" max="10" width="7.85546875" customWidth="1"/>
    <col min="11" max="11" width="8.140625" customWidth="1"/>
    <col min="12" max="12" width="2.140625" bestFit="1" customWidth="1"/>
    <col min="13" max="13" width="7.28515625" customWidth="1"/>
    <col min="14" max="14" width="7" customWidth="1"/>
    <col min="15" max="15" width="7.85546875" customWidth="1"/>
    <col min="16" max="16" width="2.140625" bestFit="1" customWidth="1"/>
    <col min="17" max="17" width="7.28515625" customWidth="1"/>
    <col min="18" max="18" width="6" customWidth="1"/>
    <col min="19" max="19" width="8.42578125" customWidth="1"/>
    <col min="20" max="20" width="2.140625" bestFit="1" customWidth="1"/>
    <col min="21" max="21" width="6.7109375" customWidth="1"/>
    <col min="23" max="23" width="12.7109375" customWidth="1"/>
  </cols>
  <sheetData>
    <row r="1" spans="2:23" ht="18.75" x14ac:dyDescent="0.3">
      <c r="J1" s="800" t="s">
        <v>50</v>
      </c>
    </row>
    <row r="2" spans="2:23" x14ac:dyDescent="0.25">
      <c r="B2" s="145" t="s">
        <v>157</v>
      </c>
    </row>
    <row r="3" spans="2:23" x14ac:dyDescent="0.25">
      <c r="B3" t="s">
        <v>158</v>
      </c>
    </row>
    <row r="4" spans="2:23" x14ac:dyDescent="0.25">
      <c r="B4" s="145"/>
    </row>
    <row r="5" spans="2:23" ht="18" x14ac:dyDescent="0.35">
      <c r="B5" t="s">
        <v>146</v>
      </c>
      <c r="D5" s="146" t="s">
        <v>159</v>
      </c>
      <c r="E5" t="s">
        <v>147</v>
      </c>
    </row>
    <row r="6" spans="2:23" ht="18" x14ac:dyDescent="0.35">
      <c r="B6" t="s">
        <v>148</v>
      </c>
      <c r="C6">
        <v>11701</v>
      </c>
      <c r="D6" t="s">
        <v>160</v>
      </c>
      <c r="E6" t="s">
        <v>161</v>
      </c>
    </row>
    <row r="7" spans="2:23" ht="18" x14ac:dyDescent="0.35">
      <c r="B7" t="s">
        <v>150</v>
      </c>
      <c r="E7" t="s">
        <v>151</v>
      </c>
    </row>
    <row r="8" spans="2:23" ht="18.75" x14ac:dyDescent="0.35">
      <c r="B8" t="s">
        <v>152</v>
      </c>
      <c r="E8" t="s">
        <v>153</v>
      </c>
    </row>
    <row r="9" spans="2:23" ht="15.75" thickBot="1" x14ac:dyDescent="0.3"/>
    <row r="10" spans="2:23" ht="15.75" thickBot="1" x14ac:dyDescent="0.3">
      <c r="B10" s="953" t="s">
        <v>162</v>
      </c>
      <c r="C10" s="949"/>
      <c r="D10" s="949"/>
      <c r="E10" s="954"/>
      <c r="F10" s="953" t="s">
        <v>137</v>
      </c>
      <c r="G10" s="949"/>
      <c r="H10" s="949"/>
      <c r="I10" s="954"/>
      <c r="J10" s="953" t="s">
        <v>138</v>
      </c>
      <c r="K10" s="949"/>
      <c r="L10" s="949"/>
      <c r="M10" s="949"/>
      <c r="N10" s="948" t="s">
        <v>139</v>
      </c>
      <c r="O10" s="949"/>
      <c r="P10" s="949"/>
      <c r="Q10" s="949"/>
      <c r="R10" s="948" t="s">
        <v>140</v>
      </c>
      <c r="S10" s="949"/>
      <c r="T10" s="949"/>
      <c r="U10" s="949"/>
      <c r="V10" s="147" t="s">
        <v>154</v>
      </c>
      <c r="W10" s="148" t="s">
        <v>155</v>
      </c>
    </row>
    <row r="11" spans="2:23" x14ac:dyDescent="0.25">
      <c r="B11" s="484"/>
      <c r="C11" s="485">
        <f>C12-3.5/2</f>
        <v>10150.5</v>
      </c>
      <c r="D11" s="486"/>
      <c r="E11" s="487">
        <f>E12-3.5/2</f>
        <v>10500.5</v>
      </c>
      <c r="F11" s="484"/>
      <c r="G11" s="488"/>
      <c r="H11" s="488"/>
      <c r="I11" s="489"/>
      <c r="J11" s="484"/>
      <c r="K11" s="488"/>
      <c r="L11" s="488"/>
      <c r="M11" s="488"/>
      <c r="N11" s="490"/>
      <c r="O11" s="491"/>
      <c r="P11" s="491"/>
      <c r="Q11" s="492"/>
      <c r="R11" s="490"/>
      <c r="S11" s="491"/>
      <c r="T11" s="491"/>
      <c r="U11" s="492"/>
      <c r="V11" s="482"/>
      <c r="W11" s="483"/>
    </row>
    <row r="12" spans="2:23" x14ac:dyDescent="0.25">
      <c r="B12" s="533">
        <v>1</v>
      </c>
      <c r="C12" s="539">
        <f>$C$6-1552.25+3.5*B12</f>
        <v>10152.25</v>
      </c>
      <c r="D12" s="538" t="s">
        <v>106</v>
      </c>
      <c r="E12" s="536">
        <f>$C$6-1202.25+3.5*B12</f>
        <v>10502.25</v>
      </c>
      <c r="F12" s="533"/>
      <c r="G12" s="538"/>
      <c r="H12" s="538"/>
      <c r="I12" s="537"/>
      <c r="J12" s="533"/>
      <c r="K12" s="538"/>
      <c r="L12" s="538"/>
      <c r="M12" s="538"/>
      <c r="N12" s="533"/>
      <c r="O12" s="538"/>
      <c r="P12" s="538"/>
      <c r="Q12" s="537"/>
      <c r="R12" s="533"/>
      <c r="S12" s="538"/>
      <c r="T12" s="538"/>
      <c r="U12" s="537"/>
      <c r="V12" s="533"/>
      <c r="W12" s="537"/>
    </row>
    <row r="13" spans="2:23" x14ac:dyDescent="0.25">
      <c r="B13" s="533"/>
      <c r="C13" s="539"/>
      <c r="D13" s="538"/>
      <c r="E13" s="536"/>
      <c r="F13" s="533"/>
      <c r="G13" s="538"/>
      <c r="H13" s="538"/>
      <c r="I13" s="537"/>
      <c r="J13" s="533"/>
      <c r="K13" s="538"/>
      <c r="L13" s="538"/>
      <c r="M13" s="538"/>
      <c r="N13" s="533"/>
      <c r="O13" s="538"/>
      <c r="P13" s="538"/>
      <c r="Q13" s="537"/>
      <c r="R13" s="533"/>
      <c r="S13" s="538"/>
      <c r="T13" s="538"/>
      <c r="U13" s="537"/>
      <c r="V13" s="533"/>
      <c r="W13" s="537"/>
    </row>
    <row r="14" spans="2:23" x14ac:dyDescent="0.25">
      <c r="B14" s="533">
        <f>B12+1</f>
        <v>2</v>
      </c>
      <c r="C14" s="539">
        <f>$C$6-1552.25+3.5*B14</f>
        <v>10155.75</v>
      </c>
      <c r="D14" s="538" t="s">
        <v>106</v>
      </c>
      <c r="E14" s="536">
        <f t="shared" ref="E14:E22" si="0">$C$6-1202.25+3.5*B14</f>
        <v>10505.75</v>
      </c>
      <c r="F14" s="533"/>
      <c r="G14" s="538"/>
      <c r="H14" s="538"/>
      <c r="I14" s="537"/>
      <c r="J14" s="533"/>
      <c r="K14" s="538"/>
      <c r="L14" s="538"/>
      <c r="M14" s="538"/>
      <c r="N14" s="533"/>
      <c r="O14" s="538"/>
      <c r="P14" s="538"/>
      <c r="Q14" s="537"/>
      <c r="R14" s="533"/>
      <c r="S14" s="538"/>
      <c r="T14" s="538"/>
      <c r="U14" s="537"/>
      <c r="V14" s="533"/>
      <c r="W14" s="537"/>
    </row>
    <row r="15" spans="2:23" x14ac:dyDescent="0.25">
      <c r="B15" s="533"/>
      <c r="C15" s="539"/>
      <c r="D15" s="538"/>
      <c r="E15" s="536"/>
      <c r="F15" s="533">
        <v>1</v>
      </c>
      <c r="G15" s="538">
        <f>$C$6-1550.5+7*F15</f>
        <v>10157.5</v>
      </c>
      <c r="H15" s="538" t="s">
        <v>106</v>
      </c>
      <c r="I15" s="537">
        <f>$C$6-1200.5+7*F15</f>
        <v>10507.5</v>
      </c>
      <c r="J15" s="533"/>
      <c r="K15" s="538"/>
      <c r="L15" s="538"/>
      <c r="M15" s="538"/>
      <c r="N15" s="533"/>
      <c r="O15" s="538"/>
      <c r="P15" s="538"/>
      <c r="Q15" s="537"/>
      <c r="R15" s="533"/>
      <c r="S15" s="538"/>
      <c r="T15" s="538"/>
      <c r="U15" s="537"/>
      <c r="V15" s="533"/>
      <c r="W15" s="537"/>
    </row>
    <row r="16" spans="2:23" x14ac:dyDescent="0.25">
      <c r="B16" s="533">
        <f>B14+1</f>
        <v>3</v>
      </c>
      <c r="C16" s="539">
        <f t="shared" ref="C16:C22" si="1">$C$6-1552.25+3.5*B16</f>
        <v>10159.25</v>
      </c>
      <c r="D16" s="538" t="s">
        <v>106</v>
      </c>
      <c r="E16" s="536">
        <f t="shared" si="0"/>
        <v>10509.25</v>
      </c>
      <c r="F16" s="533"/>
      <c r="G16" s="538"/>
      <c r="H16" s="538"/>
      <c r="I16" s="537"/>
      <c r="J16" s="533"/>
      <c r="K16" s="538"/>
      <c r="L16" s="538"/>
      <c r="M16" s="538"/>
      <c r="N16" s="533"/>
      <c r="O16" s="538"/>
      <c r="P16" s="538"/>
      <c r="Q16" s="537"/>
      <c r="R16" s="533"/>
      <c r="S16" s="538"/>
      <c r="T16" s="538"/>
      <c r="U16" s="537"/>
      <c r="V16" s="533"/>
      <c r="W16" s="537"/>
    </row>
    <row r="17" spans="2:23" x14ac:dyDescent="0.25">
      <c r="B17" s="533"/>
      <c r="C17" s="539"/>
      <c r="D17" s="538"/>
      <c r="E17" s="536"/>
      <c r="F17" s="533"/>
      <c r="G17" s="538"/>
      <c r="H17" s="538"/>
      <c r="I17" s="537"/>
      <c r="J17" s="533">
        <v>1</v>
      </c>
      <c r="K17" s="538">
        <f>$C$6-1554+14*J17</f>
        <v>10161</v>
      </c>
      <c r="L17" s="535" t="s">
        <v>106</v>
      </c>
      <c r="M17" s="538">
        <f>$C$6-1204+14*J17</f>
        <v>10511</v>
      </c>
      <c r="N17" s="533"/>
      <c r="O17" s="538"/>
      <c r="P17" s="538"/>
      <c r="Q17" s="537"/>
      <c r="R17" s="533"/>
      <c r="S17" s="538"/>
      <c r="T17" s="538"/>
      <c r="U17" s="537"/>
      <c r="V17" s="533"/>
      <c r="W17" s="537"/>
    </row>
    <row r="18" spans="2:23" x14ac:dyDescent="0.25">
      <c r="B18" s="533">
        <f>B16+1</f>
        <v>4</v>
      </c>
      <c r="C18" s="539">
        <f t="shared" si="1"/>
        <v>10162.75</v>
      </c>
      <c r="D18" s="538" t="s">
        <v>106</v>
      </c>
      <c r="E18" s="536">
        <f t="shared" si="0"/>
        <v>10512.75</v>
      </c>
      <c r="F18" s="533"/>
      <c r="G18" s="538"/>
      <c r="H18" s="538"/>
      <c r="I18" s="537"/>
      <c r="J18" s="533"/>
      <c r="K18" s="538"/>
      <c r="L18" s="538"/>
      <c r="M18" s="538"/>
      <c r="N18" s="533"/>
      <c r="O18" s="538"/>
      <c r="P18" s="538"/>
      <c r="Q18" s="537"/>
      <c r="R18" s="533"/>
      <c r="S18" s="538"/>
      <c r="T18" s="538"/>
      <c r="U18" s="537"/>
      <c r="V18" s="533"/>
      <c r="W18" s="537"/>
    </row>
    <row r="19" spans="2:23" x14ac:dyDescent="0.25">
      <c r="B19" s="533"/>
      <c r="C19" s="539"/>
      <c r="D19" s="538"/>
      <c r="E19" s="536"/>
      <c r="F19" s="533">
        <f>F15+1</f>
        <v>2</v>
      </c>
      <c r="G19" s="538">
        <f>$C$6-1550.5+7*F19</f>
        <v>10164.5</v>
      </c>
      <c r="H19" s="538" t="s">
        <v>106</v>
      </c>
      <c r="I19" s="537">
        <f>$C$6-1200.5+7*F19</f>
        <v>10514.5</v>
      </c>
      <c r="J19" s="533"/>
      <c r="K19" s="538"/>
      <c r="L19" s="538"/>
      <c r="M19" s="538"/>
      <c r="N19" s="533"/>
      <c r="O19" s="538"/>
      <c r="P19" s="538"/>
      <c r="Q19" s="537"/>
      <c r="R19" s="533"/>
      <c r="S19" s="538"/>
      <c r="T19" s="538"/>
      <c r="U19" s="537"/>
      <c r="V19" s="533"/>
      <c r="W19" s="537"/>
    </row>
    <row r="20" spans="2:23" x14ac:dyDescent="0.25">
      <c r="B20" s="533">
        <f>B18+1</f>
        <v>5</v>
      </c>
      <c r="C20" s="539">
        <f t="shared" si="1"/>
        <v>10166.25</v>
      </c>
      <c r="D20" s="538" t="s">
        <v>106</v>
      </c>
      <c r="E20" s="536">
        <f t="shared" si="0"/>
        <v>10516.25</v>
      </c>
      <c r="F20" s="533"/>
      <c r="G20" s="538"/>
      <c r="H20" s="538"/>
      <c r="I20" s="537"/>
      <c r="J20" s="533"/>
      <c r="K20" s="538"/>
      <c r="L20" s="538"/>
      <c r="M20" s="538"/>
      <c r="N20" s="533"/>
      <c r="O20" s="538"/>
      <c r="P20" s="538"/>
      <c r="Q20" s="537"/>
      <c r="R20" s="533"/>
      <c r="S20" s="538"/>
      <c r="T20" s="538"/>
      <c r="U20" s="537"/>
      <c r="V20" s="533"/>
      <c r="W20" s="537"/>
    </row>
    <row r="21" spans="2:23" x14ac:dyDescent="0.25">
      <c r="B21" s="533"/>
      <c r="C21" s="539"/>
      <c r="D21" s="538"/>
      <c r="E21" s="536"/>
      <c r="F21" s="533"/>
      <c r="G21" s="538"/>
      <c r="H21" s="538"/>
      <c r="I21" s="537"/>
      <c r="J21" s="533"/>
      <c r="K21" s="538"/>
      <c r="L21" s="538"/>
      <c r="M21" s="538"/>
      <c r="N21" s="533">
        <v>1</v>
      </c>
      <c r="O21" s="538">
        <f>$C$6-1561+28*N21</f>
        <v>10168</v>
      </c>
      <c r="P21" s="535" t="s">
        <v>106</v>
      </c>
      <c r="Q21" s="537">
        <f>$C$6-1211+28*N21</f>
        <v>10518</v>
      </c>
      <c r="R21" s="533"/>
      <c r="S21" s="538"/>
      <c r="T21" s="535"/>
      <c r="U21" s="537"/>
      <c r="V21" s="533"/>
      <c r="W21" s="537"/>
    </row>
    <row r="22" spans="2:23" x14ac:dyDescent="0.25">
      <c r="B22" s="533">
        <f>B20+1</f>
        <v>6</v>
      </c>
      <c r="C22" s="539">
        <f t="shared" si="1"/>
        <v>10169.75</v>
      </c>
      <c r="D22" s="538" t="s">
        <v>106</v>
      </c>
      <c r="E22" s="536">
        <f t="shared" si="0"/>
        <v>10519.75</v>
      </c>
      <c r="F22" s="533"/>
      <c r="G22" s="538"/>
      <c r="H22" s="538"/>
      <c r="I22" s="537"/>
      <c r="J22" s="533"/>
      <c r="K22" s="538"/>
      <c r="L22" s="538"/>
      <c r="M22" s="538"/>
      <c r="N22" s="533"/>
      <c r="O22" s="538"/>
      <c r="P22" s="538"/>
      <c r="Q22" s="537"/>
      <c r="R22" s="533"/>
      <c r="S22" s="538"/>
      <c r="T22" s="538"/>
      <c r="U22" s="537"/>
      <c r="V22" s="533"/>
      <c r="W22" s="537"/>
    </row>
    <row r="23" spans="2:23" x14ac:dyDescent="0.25">
      <c r="B23" s="533"/>
      <c r="C23" s="539"/>
      <c r="D23" s="538"/>
      <c r="E23" s="536"/>
      <c r="F23" s="533">
        <f>F19+1</f>
        <v>3</v>
      </c>
      <c r="G23" s="538">
        <f>$C$6-1550.5+7*F23</f>
        <v>10171.5</v>
      </c>
      <c r="H23" s="538" t="s">
        <v>106</v>
      </c>
      <c r="I23" s="537">
        <f>$C$6-1200.5+7*F23</f>
        <v>10521.5</v>
      </c>
      <c r="J23" s="533"/>
      <c r="K23" s="538"/>
      <c r="L23" s="538"/>
      <c r="M23" s="538"/>
      <c r="N23" s="533"/>
      <c r="O23" s="538"/>
      <c r="P23" s="538"/>
      <c r="Q23" s="537"/>
      <c r="R23" s="533"/>
      <c r="S23" s="538"/>
      <c r="T23" s="538"/>
      <c r="U23" s="537"/>
      <c r="V23" s="533"/>
      <c r="W23" s="537"/>
    </row>
    <row r="24" spans="2:23" x14ac:dyDescent="0.25">
      <c r="B24" s="533">
        <f>B22+1</f>
        <v>7</v>
      </c>
      <c r="C24" s="539">
        <f t="shared" ref="C24" si="2">$C$6-1552.25+3.5*B24</f>
        <v>10173.25</v>
      </c>
      <c r="D24" s="538" t="s">
        <v>106</v>
      </c>
      <c r="E24" s="536">
        <f t="shared" ref="E24" si="3">$C$6-1202.25+3.5*B24</f>
        <v>10523.25</v>
      </c>
      <c r="F24" s="533"/>
      <c r="G24" s="538"/>
      <c r="H24" s="538"/>
      <c r="I24" s="537"/>
      <c r="J24" s="533"/>
      <c r="K24" s="538"/>
      <c r="L24" s="538"/>
      <c r="M24" s="538"/>
      <c r="N24" s="533"/>
      <c r="O24" s="538"/>
      <c r="P24" s="538"/>
      <c r="Q24" s="537"/>
      <c r="R24" s="533"/>
      <c r="S24" s="538"/>
      <c r="T24" s="538"/>
      <c r="U24" s="537"/>
      <c r="V24" s="533"/>
      <c r="W24" s="537"/>
    </row>
    <row r="25" spans="2:23" x14ac:dyDescent="0.25">
      <c r="B25" s="533"/>
      <c r="C25" s="539"/>
      <c r="D25" s="538"/>
      <c r="E25" s="536"/>
      <c r="F25" s="533"/>
      <c r="G25" s="538"/>
      <c r="H25" s="538"/>
      <c r="I25" s="537"/>
      <c r="J25" s="533">
        <f>J17+1</f>
        <v>2</v>
      </c>
      <c r="K25" s="538">
        <f>$C$6-1554+14*J25</f>
        <v>10175</v>
      </c>
      <c r="L25" s="535" t="s">
        <v>106</v>
      </c>
      <c r="M25" s="538">
        <f>$C$6-1204+14*J25</f>
        <v>10525</v>
      </c>
      <c r="N25" s="533"/>
      <c r="O25" s="538"/>
      <c r="P25" s="538"/>
      <c r="Q25" s="537"/>
      <c r="R25" s="533"/>
      <c r="S25" s="538"/>
      <c r="T25" s="538"/>
      <c r="U25" s="537"/>
      <c r="V25" s="533"/>
      <c r="W25" s="537"/>
    </row>
    <row r="26" spans="2:23" x14ac:dyDescent="0.25">
      <c r="B26" s="533">
        <f>B24+1</f>
        <v>8</v>
      </c>
      <c r="C26" s="539">
        <f t="shared" ref="C26" si="4">$C$6-1552.25+3.5*B26</f>
        <v>10176.75</v>
      </c>
      <c r="D26" s="538" t="s">
        <v>106</v>
      </c>
      <c r="E26" s="536">
        <f t="shared" ref="E26" si="5">$C$6-1202.25+3.5*B26</f>
        <v>10526.75</v>
      </c>
      <c r="F26" s="533"/>
      <c r="G26" s="538"/>
      <c r="H26" s="538"/>
      <c r="I26" s="537"/>
      <c r="J26" s="533"/>
      <c r="K26" s="538"/>
      <c r="L26" s="538"/>
      <c r="M26" s="538"/>
      <c r="N26" s="533"/>
      <c r="O26" s="538"/>
      <c r="P26" s="538"/>
      <c r="Q26" s="537"/>
      <c r="R26" s="533"/>
      <c r="S26" s="538"/>
      <c r="T26" s="538"/>
      <c r="U26" s="537"/>
      <c r="V26" s="533"/>
      <c r="W26" s="537"/>
    </row>
    <row r="27" spans="2:23" x14ac:dyDescent="0.25">
      <c r="B27" s="533"/>
      <c r="C27" s="539"/>
      <c r="D27" s="538"/>
      <c r="E27" s="536"/>
      <c r="F27" s="533">
        <f>F23+1</f>
        <v>4</v>
      </c>
      <c r="G27" s="538">
        <f>$C$6-1550.5+7*F27</f>
        <v>10178.5</v>
      </c>
      <c r="H27" s="538" t="s">
        <v>106</v>
      </c>
      <c r="I27" s="537">
        <f>$C$6-1200.5+7*F27</f>
        <v>10528.5</v>
      </c>
      <c r="J27" s="533"/>
      <c r="K27" s="538"/>
      <c r="L27" s="538"/>
      <c r="M27" s="538"/>
      <c r="N27" s="533"/>
      <c r="O27" s="538"/>
      <c r="P27" s="538"/>
      <c r="Q27" s="537"/>
      <c r="R27" s="533"/>
      <c r="S27" s="538"/>
      <c r="T27" s="538"/>
      <c r="U27" s="537"/>
      <c r="V27" s="533"/>
      <c r="W27" s="537"/>
    </row>
    <row r="28" spans="2:23" x14ac:dyDescent="0.25">
      <c r="B28" s="533">
        <f>B26+1</f>
        <v>9</v>
      </c>
      <c r="C28" s="539">
        <f t="shared" ref="C28" si="6">$C$6-1552.25+3.5*B28</f>
        <v>10180.25</v>
      </c>
      <c r="D28" s="538" t="s">
        <v>106</v>
      </c>
      <c r="E28" s="536">
        <f t="shared" ref="E28" si="7">$C$6-1202.25+3.5*B28</f>
        <v>10530.25</v>
      </c>
      <c r="F28" s="533"/>
      <c r="G28" s="538"/>
      <c r="H28" s="538"/>
      <c r="I28" s="537"/>
      <c r="J28" s="533"/>
      <c r="K28" s="538"/>
      <c r="L28" s="538"/>
      <c r="M28" s="538"/>
      <c r="N28" s="533"/>
      <c r="O28" s="538"/>
      <c r="P28" s="538"/>
      <c r="Q28" s="537"/>
      <c r="R28" s="533"/>
      <c r="S28" s="538"/>
      <c r="T28" s="538"/>
      <c r="U28" s="537"/>
      <c r="V28" s="533"/>
      <c r="W28" s="537"/>
    </row>
    <row r="29" spans="2:23" x14ac:dyDescent="0.25">
      <c r="B29" s="533"/>
      <c r="C29" s="539"/>
      <c r="D29" s="538"/>
      <c r="E29" s="536"/>
      <c r="F29" s="533"/>
      <c r="G29" s="538"/>
      <c r="H29" s="538"/>
      <c r="I29" s="537"/>
      <c r="J29" s="533"/>
      <c r="K29" s="538"/>
      <c r="L29" s="538"/>
      <c r="M29" s="538"/>
      <c r="N29" s="533"/>
      <c r="O29" s="538"/>
      <c r="P29" s="538"/>
      <c r="Q29" s="537"/>
      <c r="R29" s="533">
        <v>1</v>
      </c>
      <c r="S29" s="538">
        <f>$C$6-1547+28*R29</f>
        <v>10182</v>
      </c>
      <c r="T29" s="538" t="s">
        <v>106</v>
      </c>
      <c r="U29" s="537">
        <f>$C$6-1197+28*R29</f>
        <v>10532</v>
      </c>
      <c r="V29" s="533" t="s">
        <v>156</v>
      </c>
      <c r="W29" s="537"/>
    </row>
    <row r="30" spans="2:23" x14ac:dyDescent="0.25">
      <c r="B30" s="533">
        <f>B28+1</f>
        <v>10</v>
      </c>
      <c r="C30" s="539">
        <f>$C$6-1552.25+3.5*B30</f>
        <v>10183.75</v>
      </c>
      <c r="D30" s="538" t="s">
        <v>106</v>
      </c>
      <c r="E30" s="536">
        <f t="shared" ref="E30" si="8">$C$6-1202.25+3.5*B30</f>
        <v>10533.75</v>
      </c>
      <c r="F30" s="533"/>
      <c r="G30" s="538"/>
      <c r="H30" s="538"/>
      <c r="I30" s="537"/>
      <c r="J30" s="533"/>
      <c r="K30" s="538"/>
      <c r="L30" s="538"/>
      <c r="M30" s="538"/>
      <c r="N30" s="533"/>
      <c r="O30" s="538"/>
      <c r="P30" s="538"/>
      <c r="Q30" s="537"/>
      <c r="R30" s="533"/>
      <c r="S30" s="538"/>
      <c r="T30" s="538"/>
      <c r="U30" s="537"/>
      <c r="V30" s="533"/>
      <c r="W30" s="537"/>
    </row>
    <row r="31" spans="2:23" x14ac:dyDescent="0.25">
      <c r="B31" s="533"/>
      <c r="C31" s="539"/>
      <c r="D31" s="538"/>
      <c r="E31" s="536"/>
      <c r="F31" s="533">
        <f>F27+1</f>
        <v>5</v>
      </c>
      <c r="G31" s="538">
        <f>$C$6-1550.5+7*F31</f>
        <v>10185.5</v>
      </c>
      <c r="H31" s="538" t="s">
        <v>106</v>
      </c>
      <c r="I31" s="537">
        <f>$C$6-1200.5+7*F31</f>
        <v>10535.5</v>
      </c>
      <c r="J31" s="533"/>
      <c r="K31" s="538"/>
      <c r="L31" s="538"/>
      <c r="M31" s="538"/>
      <c r="N31" s="533"/>
      <c r="O31" s="538"/>
      <c r="P31" s="538"/>
      <c r="Q31" s="537"/>
      <c r="R31" s="533"/>
      <c r="S31" s="538"/>
      <c r="T31" s="538"/>
      <c r="U31" s="537"/>
      <c r="V31" s="533"/>
      <c r="W31" s="537"/>
    </row>
    <row r="32" spans="2:23" x14ac:dyDescent="0.25">
      <c r="B32" s="533">
        <f>B30+1</f>
        <v>11</v>
      </c>
      <c r="C32" s="539">
        <f t="shared" ref="C32" si="9">$C$6-1552.25+3.5*B32</f>
        <v>10187.25</v>
      </c>
      <c r="D32" s="538" t="s">
        <v>106</v>
      </c>
      <c r="E32" s="536">
        <f t="shared" ref="E32" si="10">$C$6-1202.25+3.5*B32</f>
        <v>10537.25</v>
      </c>
      <c r="F32" s="533"/>
      <c r="G32" s="538"/>
      <c r="H32" s="538"/>
      <c r="I32" s="537"/>
      <c r="J32" s="533"/>
      <c r="K32" s="538"/>
      <c r="L32" s="538"/>
      <c r="M32" s="538"/>
      <c r="N32" s="533"/>
      <c r="O32" s="538"/>
      <c r="P32" s="538"/>
      <c r="Q32" s="537"/>
      <c r="R32" s="533"/>
      <c r="S32" s="538"/>
      <c r="T32" s="538"/>
      <c r="U32" s="537"/>
      <c r="V32" s="533"/>
      <c r="W32" s="537"/>
    </row>
    <row r="33" spans="2:23" x14ac:dyDescent="0.25">
      <c r="B33" s="533"/>
      <c r="C33" s="539"/>
      <c r="D33" s="538"/>
      <c r="E33" s="536"/>
      <c r="F33" s="533"/>
      <c r="G33" s="538"/>
      <c r="H33" s="538"/>
      <c r="I33" s="537"/>
      <c r="J33" s="533">
        <f>J25+1</f>
        <v>3</v>
      </c>
      <c r="K33" s="538">
        <f>$C$6-1554+14*J33</f>
        <v>10189</v>
      </c>
      <c r="L33" s="535" t="s">
        <v>106</v>
      </c>
      <c r="M33" s="538">
        <f>$C$6-1204+14*J33</f>
        <v>10539</v>
      </c>
      <c r="N33" s="533"/>
      <c r="O33" s="538"/>
      <c r="P33" s="538"/>
      <c r="Q33" s="537"/>
      <c r="R33" s="533"/>
      <c r="S33" s="538"/>
      <c r="T33" s="538"/>
      <c r="U33" s="537"/>
      <c r="V33" s="533"/>
      <c r="W33" s="537"/>
    </row>
    <row r="34" spans="2:23" x14ac:dyDescent="0.25">
      <c r="B34" s="533">
        <f>B32+1</f>
        <v>12</v>
      </c>
      <c r="C34" s="539">
        <f t="shared" ref="C34" si="11">$C$6-1552.25+3.5*B34</f>
        <v>10190.75</v>
      </c>
      <c r="D34" s="538" t="s">
        <v>106</v>
      </c>
      <c r="E34" s="536">
        <f t="shared" ref="E34" si="12">$C$6-1202.25+3.5*B34</f>
        <v>10540.75</v>
      </c>
      <c r="F34" s="533"/>
      <c r="G34" s="538"/>
      <c r="H34" s="538"/>
      <c r="I34" s="537"/>
      <c r="J34" s="533"/>
      <c r="K34" s="538"/>
      <c r="L34" s="538"/>
      <c r="M34" s="538"/>
      <c r="N34" s="533"/>
      <c r="O34" s="538"/>
      <c r="P34" s="538"/>
      <c r="Q34" s="537"/>
      <c r="R34" s="533"/>
      <c r="S34" s="538"/>
      <c r="T34" s="538"/>
      <c r="U34" s="537"/>
      <c r="V34" s="533"/>
      <c r="W34" s="537"/>
    </row>
    <row r="35" spans="2:23" x14ac:dyDescent="0.25">
      <c r="B35" s="533"/>
      <c r="C35" s="539"/>
      <c r="D35" s="538"/>
      <c r="E35" s="536"/>
      <c r="F35" s="533">
        <f>F31+1</f>
        <v>6</v>
      </c>
      <c r="G35" s="538">
        <f>$C$6-1550.5+7*F35</f>
        <v>10192.5</v>
      </c>
      <c r="H35" s="538" t="s">
        <v>106</v>
      </c>
      <c r="I35" s="537">
        <f>$C$6-1200.5+7*F35</f>
        <v>10542.5</v>
      </c>
      <c r="J35" s="533"/>
      <c r="K35" s="538"/>
      <c r="L35" s="538"/>
      <c r="M35" s="538"/>
      <c r="N35" s="533"/>
      <c r="O35" s="538"/>
      <c r="P35" s="538"/>
      <c r="Q35" s="537"/>
      <c r="R35" s="533"/>
      <c r="S35" s="538"/>
      <c r="T35" s="538"/>
      <c r="U35" s="537"/>
      <c r="V35" s="533"/>
      <c r="W35" s="537"/>
    </row>
    <row r="36" spans="2:23" x14ac:dyDescent="0.25">
      <c r="B36" s="533">
        <f>B34+1</f>
        <v>13</v>
      </c>
      <c r="C36" s="539">
        <f t="shared" ref="C36" si="13">$C$6-1552.25+3.5*B36</f>
        <v>10194.25</v>
      </c>
      <c r="D36" s="538" t="s">
        <v>106</v>
      </c>
      <c r="E36" s="536">
        <f t="shared" ref="E36" si="14">$C$6-1202.25+3.5*B36</f>
        <v>10544.25</v>
      </c>
      <c r="F36" s="533"/>
      <c r="G36" s="538"/>
      <c r="H36" s="538"/>
      <c r="I36" s="537"/>
      <c r="J36" s="533"/>
      <c r="K36" s="538"/>
      <c r="L36" s="538"/>
      <c r="M36" s="538"/>
      <c r="N36" s="533"/>
      <c r="O36" s="538"/>
      <c r="P36" s="538"/>
      <c r="Q36" s="537"/>
      <c r="R36" s="533"/>
      <c r="S36" s="538"/>
      <c r="T36" s="538"/>
      <c r="U36" s="537"/>
      <c r="V36" s="533"/>
      <c r="W36" s="537"/>
    </row>
    <row r="37" spans="2:23" x14ac:dyDescent="0.25">
      <c r="B37" s="533"/>
      <c r="C37" s="539"/>
      <c r="D37" s="538"/>
      <c r="E37" s="536"/>
      <c r="F37" s="533"/>
      <c r="G37" s="538"/>
      <c r="H37" s="538"/>
      <c r="I37" s="537"/>
      <c r="J37" s="533"/>
      <c r="K37" s="538"/>
      <c r="L37" s="538"/>
      <c r="M37" s="538"/>
      <c r="N37" s="533">
        <f>N21+1</f>
        <v>2</v>
      </c>
      <c r="O37" s="538">
        <f>$C$6-1561+28*N37</f>
        <v>10196</v>
      </c>
      <c r="P37" s="535" t="s">
        <v>106</v>
      </c>
      <c r="Q37" s="537">
        <f>$C$6-1211+28*N37</f>
        <v>10546</v>
      </c>
      <c r="R37" s="533"/>
      <c r="S37" s="538"/>
      <c r="T37" s="535"/>
      <c r="U37" s="537"/>
      <c r="V37" s="533"/>
      <c r="W37" s="537"/>
    </row>
    <row r="38" spans="2:23" x14ac:dyDescent="0.25">
      <c r="B38" s="533">
        <f>B36+1</f>
        <v>14</v>
      </c>
      <c r="C38" s="539">
        <f t="shared" ref="C38" si="15">$C$6-1552.25+3.5*B38</f>
        <v>10197.75</v>
      </c>
      <c r="D38" s="538" t="s">
        <v>106</v>
      </c>
      <c r="E38" s="536">
        <f t="shared" ref="E38" si="16">$C$6-1202.25+3.5*B38</f>
        <v>10547.75</v>
      </c>
      <c r="F38" s="533"/>
      <c r="G38" s="538"/>
      <c r="H38" s="538"/>
      <c r="I38" s="537"/>
      <c r="J38" s="533"/>
      <c r="K38" s="538"/>
      <c r="L38" s="538"/>
      <c r="M38" s="538"/>
      <c r="N38" s="533"/>
      <c r="O38" s="538"/>
      <c r="P38" s="538"/>
      <c r="Q38" s="537"/>
      <c r="R38" s="533"/>
      <c r="S38" s="538"/>
      <c r="T38" s="538"/>
      <c r="U38" s="537"/>
      <c r="V38" s="533"/>
      <c r="W38" s="537"/>
    </row>
    <row r="39" spans="2:23" x14ac:dyDescent="0.25">
      <c r="B39" s="533"/>
      <c r="C39" s="539"/>
      <c r="D39" s="538"/>
      <c r="E39" s="536"/>
      <c r="F39" s="533">
        <f>F35+1</f>
        <v>7</v>
      </c>
      <c r="G39" s="538">
        <f>$C$6-1550.5+7*F39</f>
        <v>10199.5</v>
      </c>
      <c r="H39" s="538" t="s">
        <v>106</v>
      </c>
      <c r="I39" s="537">
        <f>$C$6-1200.5+7*F39</f>
        <v>10549.5</v>
      </c>
      <c r="J39" s="533"/>
      <c r="K39" s="538"/>
      <c r="L39" s="538"/>
      <c r="M39" s="538"/>
      <c r="N39" s="533"/>
      <c r="O39" s="538"/>
      <c r="P39" s="538"/>
      <c r="Q39" s="537"/>
      <c r="R39" s="533"/>
      <c r="S39" s="538"/>
      <c r="T39" s="538"/>
      <c r="U39" s="537"/>
      <c r="V39" s="533"/>
      <c r="W39" s="537"/>
    </row>
    <row r="40" spans="2:23" x14ac:dyDescent="0.25">
      <c r="B40" s="533">
        <f>B38+1</f>
        <v>15</v>
      </c>
      <c r="C40" s="539">
        <f t="shared" ref="C40" si="17">$C$6-1552.25+3.5*B40</f>
        <v>10201.25</v>
      </c>
      <c r="D40" s="538" t="s">
        <v>106</v>
      </c>
      <c r="E40" s="536">
        <f t="shared" ref="E40" si="18">$C$6-1202.25+3.5*B40</f>
        <v>10551.25</v>
      </c>
      <c r="F40" s="533"/>
      <c r="G40" s="538"/>
      <c r="H40" s="538"/>
      <c r="I40" s="537"/>
      <c r="J40" s="533"/>
      <c r="K40" s="538"/>
      <c r="L40" s="538"/>
      <c r="M40" s="538"/>
      <c r="N40" s="533"/>
      <c r="O40" s="538"/>
      <c r="P40" s="538"/>
      <c r="Q40" s="537"/>
      <c r="R40" s="533"/>
      <c r="S40" s="538"/>
      <c r="T40" s="538"/>
      <c r="U40" s="537"/>
      <c r="V40" s="533"/>
      <c r="W40" s="537"/>
    </row>
    <row r="41" spans="2:23" x14ac:dyDescent="0.25">
      <c r="B41" s="533"/>
      <c r="C41" s="539"/>
      <c r="D41" s="538"/>
      <c r="E41" s="536"/>
      <c r="F41" s="533"/>
      <c r="G41" s="538"/>
      <c r="H41" s="538"/>
      <c r="I41" s="537"/>
      <c r="J41" s="533">
        <f>J33+1</f>
        <v>4</v>
      </c>
      <c r="K41" s="538">
        <f>$C$6-1554+14*J41</f>
        <v>10203</v>
      </c>
      <c r="L41" s="535" t="s">
        <v>106</v>
      </c>
      <c r="M41" s="538">
        <f>$C$6-1204+14*J41</f>
        <v>10553</v>
      </c>
      <c r="N41" s="533"/>
      <c r="O41" s="538"/>
      <c r="P41" s="538"/>
      <c r="Q41" s="537"/>
      <c r="R41" s="533"/>
      <c r="S41" s="538"/>
      <c r="T41" s="538"/>
      <c r="U41" s="537"/>
      <c r="V41" s="533"/>
      <c r="W41" s="537"/>
    </row>
    <row r="42" spans="2:23" x14ac:dyDescent="0.25">
      <c r="B42" s="533">
        <f>B40+1</f>
        <v>16</v>
      </c>
      <c r="C42" s="539">
        <f t="shared" ref="C42" si="19">$C$6-1552.25+3.5*B42</f>
        <v>10204.75</v>
      </c>
      <c r="D42" s="538" t="s">
        <v>106</v>
      </c>
      <c r="E42" s="536">
        <f t="shared" ref="E42" si="20">$C$6-1202.25+3.5*B42</f>
        <v>10554.75</v>
      </c>
      <c r="F42" s="533"/>
      <c r="G42" s="538"/>
      <c r="H42" s="538"/>
      <c r="I42" s="537"/>
      <c r="J42" s="533"/>
      <c r="K42" s="538"/>
      <c r="L42" s="538"/>
      <c r="M42" s="538"/>
      <c r="N42" s="533"/>
      <c r="O42" s="538"/>
      <c r="P42" s="538"/>
      <c r="Q42" s="537"/>
      <c r="R42" s="533"/>
      <c r="S42" s="538"/>
      <c r="T42" s="538"/>
      <c r="U42" s="537"/>
      <c r="V42" s="533"/>
      <c r="W42" s="537"/>
    </row>
    <row r="43" spans="2:23" x14ac:dyDescent="0.25">
      <c r="B43" s="533"/>
      <c r="C43" s="539"/>
      <c r="D43" s="538"/>
      <c r="E43" s="536"/>
      <c r="F43" s="533">
        <f>F39+1</f>
        <v>8</v>
      </c>
      <c r="G43" s="538">
        <f>$C$6-1550.5+7*F43</f>
        <v>10206.5</v>
      </c>
      <c r="H43" s="538" t="s">
        <v>106</v>
      </c>
      <c r="I43" s="537">
        <f>$C$6-1200.5+7*F43</f>
        <v>10556.5</v>
      </c>
      <c r="J43" s="533"/>
      <c r="K43" s="538"/>
      <c r="L43" s="538"/>
      <c r="M43" s="538"/>
      <c r="N43" s="533"/>
      <c r="O43" s="538"/>
      <c r="P43" s="538"/>
      <c r="Q43" s="537"/>
      <c r="R43" s="533"/>
      <c r="S43" s="538"/>
      <c r="T43" s="538"/>
      <c r="U43" s="537"/>
      <c r="V43" s="533"/>
      <c r="W43" s="537"/>
    </row>
    <row r="44" spans="2:23" x14ac:dyDescent="0.25">
      <c r="B44" s="533">
        <f>B42+1</f>
        <v>17</v>
      </c>
      <c r="C44" s="539">
        <f t="shared" ref="C44" si="21">$C$6-1552.25+3.5*B44</f>
        <v>10208.25</v>
      </c>
      <c r="D44" s="538" t="s">
        <v>106</v>
      </c>
      <c r="E44" s="536">
        <f t="shared" ref="E44" si="22">$C$6-1202.25+3.5*B44</f>
        <v>10558.25</v>
      </c>
      <c r="F44" s="533"/>
      <c r="G44" s="538"/>
      <c r="H44" s="538"/>
      <c r="I44" s="537"/>
      <c r="J44" s="533"/>
      <c r="K44" s="538"/>
      <c r="L44" s="538"/>
      <c r="M44" s="538"/>
      <c r="N44" s="533"/>
      <c r="O44" s="538"/>
      <c r="P44" s="538"/>
      <c r="Q44" s="537"/>
      <c r="R44" s="533"/>
      <c r="S44" s="538"/>
      <c r="T44" s="538"/>
      <c r="U44" s="537"/>
      <c r="V44" s="533"/>
      <c r="W44" s="537"/>
    </row>
    <row r="45" spans="2:23" x14ac:dyDescent="0.25">
      <c r="B45" s="533"/>
      <c r="C45" s="539"/>
      <c r="D45" s="538"/>
      <c r="E45" s="536"/>
      <c r="F45" s="533"/>
      <c r="G45" s="538"/>
      <c r="H45" s="538"/>
      <c r="I45" s="537"/>
      <c r="J45" s="533"/>
      <c r="K45" s="538"/>
      <c r="L45" s="538"/>
      <c r="M45" s="538"/>
      <c r="N45" s="533"/>
      <c r="O45" s="538"/>
      <c r="P45" s="538"/>
      <c r="Q45" s="537"/>
      <c r="R45" s="533"/>
      <c r="S45" s="538"/>
      <c r="T45" s="538"/>
      <c r="U45" s="537"/>
      <c r="V45" s="533"/>
      <c r="W45" s="537"/>
    </row>
    <row r="46" spans="2:23" x14ac:dyDescent="0.25">
      <c r="B46" s="533">
        <f>B44+1</f>
        <v>18</v>
      </c>
      <c r="C46" s="539">
        <f>$C$6-1552.25+3.5*B46</f>
        <v>10211.75</v>
      </c>
      <c r="D46" s="538" t="s">
        <v>106</v>
      </c>
      <c r="E46" s="536">
        <f t="shared" ref="E46" si="23">$C$6-1202.25+3.5*B46</f>
        <v>10561.75</v>
      </c>
      <c r="F46" s="533"/>
      <c r="G46" s="538"/>
      <c r="H46" s="538"/>
      <c r="I46" s="537"/>
      <c r="J46" s="533"/>
      <c r="K46" s="538"/>
      <c r="L46" s="538"/>
      <c r="M46" s="538"/>
      <c r="N46" s="533"/>
      <c r="O46" s="538"/>
      <c r="P46" s="538"/>
      <c r="Q46" s="537"/>
      <c r="R46" s="533"/>
      <c r="S46" s="538"/>
      <c r="T46" s="538"/>
      <c r="U46" s="537"/>
      <c r="V46" s="533"/>
      <c r="W46" s="537"/>
    </row>
    <row r="47" spans="2:23" x14ac:dyDescent="0.25">
      <c r="B47" s="533"/>
      <c r="C47" s="539"/>
      <c r="D47" s="538"/>
      <c r="E47" s="536"/>
      <c r="F47" s="533">
        <f>F43+1</f>
        <v>9</v>
      </c>
      <c r="G47" s="538">
        <f>$C$6-1550.5+7*F47</f>
        <v>10213.5</v>
      </c>
      <c r="H47" s="538" t="s">
        <v>106</v>
      </c>
      <c r="I47" s="537">
        <f>$C$6-1200.5+7*F47</f>
        <v>10563.5</v>
      </c>
      <c r="J47" s="533"/>
      <c r="K47" s="538"/>
      <c r="L47" s="538"/>
      <c r="M47" s="538"/>
      <c r="N47" s="533"/>
      <c r="O47" s="538"/>
      <c r="P47" s="538"/>
      <c r="Q47" s="537"/>
      <c r="R47" s="533"/>
      <c r="S47" s="538"/>
      <c r="T47" s="538"/>
      <c r="U47" s="537"/>
      <c r="V47" s="533"/>
      <c r="W47" s="537"/>
    </row>
    <row r="48" spans="2:23" x14ac:dyDescent="0.25">
      <c r="B48" s="533">
        <f>B46+1</f>
        <v>19</v>
      </c>
      <c r="C48" s="539">
        <f t="shared" ref="C48" si="24">$C$6-1552.25+3.5*B48</f>
        <v>10215.25</v>
      </c>
      <c r="D48" s="538" t="s">
        <v>106</v>
      </c>
      <c r="E48" s="536">
        <f t="shared" ref="E48" si="25">$C$6-1202.25+3.5*B48</f>
        <v>10565.25</v>
      </c>
      <c r="F48" s="533"/>
      <c r="G48" s="538"/>
      <c r="H48" s="538"/>
      <c r="I48" s="537"/>
      <c r="J48" s="533"/>
      <c r="K48" s="538"/>
      <c r="L48" s="538"/>
      <c r="M48" s="538"/>
      <c r="N48" s="533"/>
      <c r="O48" s="538"/>
      <c r="P48" s="538"/>
      <c r="Q48" s="537"/>
      <c r="R48" s="533"/>
      <c r="S48" s="538"/>
      <c r="T48" s="538"/>
      <c r="U48" s="537"/>
      <c r="V48" s="533"/>
      <c r="W48" s="537"/>
    </row>
    <row r="49" spans="2:23" x14ac:dyDescent="0.25">
      <c r="B49" s="533"/>
      <c r="C49" s="539"/>
      <c r="D49" s="538"/>
      <c r="E49" s="536"/>
      <c r="F49" s="533"/>
      <c r="G49" s="538"/>
      <c r="H49" s="538"/>
      <c r="I49" s="537"/>
      <c r="J49" s="533">
        <f>J41+1</f>
        <v>5</v>
      </c>
      <c r="K49" s="538">
        <f>$C$6-1554+14*J49</f>
        <v>10217</v>
      </c>
      <c r="L49" s="535" t="s">
        <v>106</v>
      </c>
      <c r="M49" s="538">
        <f>$C$6-1204+14*J49</f>
        <v>10567</v>
      </c>
      <c r="N49" s="533"/>
      <c r="O49" s="538"/>
      <c r="P49" s="538"/>
      <c r="Q49" s="537"/>
      <c r="R49" s="533"/>
      <c r="S49" s="538"/>
      <c r="T49" s="538"/>
      <c r="U49" s="537"/>
      <c r="V49" s="533"/>
      <c r="W49" s="537"/>
    </row>
    <row r="50" spans="2:23" x14ac:dyDescent="0.25">
      <c r="B50" s="533">
        <f>B48+1</f>
        <v>20</v>
      </c>
      <c r="C50" s="539">
        <f t="shared" ref="C50" si="26">$C$6-1552.25+3.5*B50</f>
        <v>10218.75</v>
      </c>
      <c r="D50" s="538" t="s">
        <v>106</v>
      </c>
      <c r="E50" s="536">
        <f t="shared" ref="E50" si="27">$C$6-1202.25+3.5*B50</f>
        <v>10568.75</v>
      </c>
      <c r="F50" s="533"/>
      <c r="G50" s="538"/>
      <c r="H50" s="538"/>
      <c r="I50" s="537"/>
      <c r="J50" s="533"/>
      <c r="K50" s="538"/>
      <c r="L50" s="538"/>
      <c r="M50" s="538"/>
      <c r="N50" s="533"/>
      <c r="O50" s="538"/>
      <c r="P50" s="538"/>
      <c r="Q50" s="537"/>
      <c r="R50" s="533"/>
      <c r="S50" s="538"/>
      <c r="T50" s="538"/>
      <c r="U50" s="537"/>
      <c r="V50" s="533"/>
      <c r="W50" s="537"/>
    </row>
    <row r="51" spans="2:23" x14ac:dyDescent="0.25">
      <c r="B51" s="533"/>
      <c r="C51" s="539"/>
      <c r="D51" s="538"/>
      <c r="E51" s="536"/>
      <c r="F51" s="533">
        <f>F47+1</f>
        <v>10</v>
      </c>
      <c r="G51" s="538">
        <f>$C$6-1550.5+7*F51</f>
        <v>10220.5</v>
      </c>
      <c r="H51" s="538" t="s">
        <v>106</v>
      </c>
      <c r="I51" s="537">
        <f>$C$6-1200.5+7*F51</f>
        <v>10570.5</v>
      </c>
      <c r="J51" s="533"/>
      <c r="K51" s="538"/>
      <c r="L51" s="538"/>
      <c r="M51" s="538"/>
      <c r="N51" s="533"/>
      <c r="O51" s="538"/>
      <c r="P51" s="538"/>
      <c r="Q51" s="537"/>
      <c r="R51" s="533"/>
      <c r="S51" s="538"/>
      <c r="T51" s="538"/>
      <c r="U51" s="537"/>
      <c r="V51" s="533"/>
      <c r="W51" s="537"/>
    </row>
    <row r="52" spans="2:23" x14ac:dyDescent="0.25">
      <c r="B52" s="533">
        <f>B50+1</f>
        <v>21</v>
      </c>
      <c r="C52" s="539">
        <f t="shared" ref="C52" si="28">$C$6-1552.25+3.5*B52</f>
        <v>10222.25</v>
      </c>
      <c r="D52" s="538" t="s">
        <v>106</v>
      </c>
      <c r="E52" s="536">
        <f t="shared" ref="E52" si="29">$C$6-1202.25+3.5*B52</f>
        <v>10572.25</v>
      </c>
      <c r="F52" s="533"/>
      <c r="G52" s="538"/>
      <c r="H52" s="538"/>
      <c r="I52" s="537"/>
      <c r="J52" s="533"/>
      <c r="K52" s="538"/>
      <c r="L52" s="538"/>
      <c r="M52" s="538"/>
      <c r="N52" s="533"/>
      <c r="O52" s="538"/>
      <c r="P52" s="538"/>
      <c r="Q52" s="537"/>
      <c r="R52" s="533"/>
      <c r="S52" s="538"/>
      <c r="T52" s="538"/>
      <c r="U52" s="537"/>
      <c r="V52" s="533"/>
      <c r="W52" s="537"/>
    </row>
    <row r="53" spans="2:23" x14ac:dyDescent="0.25">
      <c r="B53" s="533"/>
      <c r="C53" s="539"/>
      <c r="D53" s="538"/>
      <c r="E53" s="536"/>
      <c r="F53" s="533"/>
      <c r="G53" s="538"/>
      <c r="H53" s="538"/>
      <c r="I53" s="537"/>
      <c r="J53" s="533"/>
      <c r="K53" s="538"/>
      <c r="L53" s="538"/>
      <c r="M53" s="538"/>
      <c r="N53" s="533">
        <f>N37+1</f>
        <v>3</v>
      </c>
      <c r="O53" s="538">
        <f>$C$6-1561+28*N53</f>
        <v>10224</v>
      </c>
      <c r="P53" s="535" t="s">
        <v>106</v>
      </c>
      <c r="Q53" s="537">
        <f>$C$6-1211+28*N53</f>
        <v>10574</v>
      </c>
      <c r="R53" s="533"/>
      <c r="S53" s="538"/>
      <c r="T53" s="535"/>
      <c r="U53" s="537"/>
      <c r="V53" s="533"/>
      <c r="W53" s="537"/>
    </row>
    <row r="54" spans="2:23" x14ac:dyDescent="0.25">
      <c r="B54" s="533">
        <f>B52+1</f>
        <v>22</v>
      </c>
      <c r="C54" s="539">
        <f t="shared" ref="C54" si="30">$C$6-1552.25+3.5*B54</f>
        <v>10225.75</v>
      </c>
      <c r="D54" s="538" t="s">
        <v>106</v>
      </c>
      <c r="E54" s="536">
        <f t="shared" ref="E54" si="31">$C$6-1202.25+3.5*B54</f>
        <v>10575.75</v>
      </c>
      <c r="F54" s="533"/>
      <c r="G54" s="538"/>
      <c r="H54" s="538"/>
      <c r="I54" s="537"/>
      <c r="J54" s="533"/>
      <c r="K54" s="538"/>
      <c r="L54" s="538"/>
      <c r="M54" s="538"/>
      <c r="N54" s="533"/>
      <c r="O54" s="538"/>
      <c r="P54" s="538"/>
      <c r="Q54" s="537"/>
      <c r="R54" s="533"/>
      <c r="S54" s="538"/>
      <c r="T54" s="538"/>
      <c r="U54" s="537"/>
      <c r="V54" s="533"/>
      <c r="W54" s="537"/>
    </row>
    <row r="55" spans="2:23" x14ac:dyDescent="0.25">
      <c r="B55" s="533"/>
      <c r="C55" s="539"/>
      <c r="D55" s="538"/>
      <c r="E55" s="536"/>
      <c r="F55" s="533">
        <f>F51+1</f>
        <v>11</v>
      </c>
      <c r="G55" s="538">
        <f>$C$6-1550.5+7*F55</f>
        <v>10227.5</v>
      </c>
      <c r="H55" s="538" t="s">
        <v>106</v>
      </c>
      <c r="I55" s="537">
        <f>$C$6-1200.5+7*F55</f>
        <v>10577.5</v>
      </c>
      <c r="J55" s="533"/>
      <c r="K55" s="538"/>
      <c r="L55" s="538"/>
      <c r="M55" s="538"/>
      <c r="N55" s="533"/>
      <c r="O55" s="538"/>
      <c r="P55" s="538"/>
      <c r="Q55" s="537"/>
      <c r="R55" s="533"/>
      <c r="S55" s="538"/>
      <c r="T55" s="538"/>
      <c r="U55" s="537"/>
      <c r="V55" s="533"/>
      <c r="W55" s="537"/>
    </row>
    <row r="56" spans="2:23" x14ac:dyDescent="0.25">
      <c r="B56" s="533">
        <f>B54+1</f>
        <v>23</v>
      </c>
      <c r="C56" s="539">
        <f t="shared" ref="C56" si="32">$C$6-1552.25+3.5*B56</f>
        <v>10229.25</v>
      </c>
      <c r="D56" s="538" t="s">
        <v>106</v>
      </c>
      <c r="E56" s="536">
        <f t="shared" ref="E56" si="33">$C$6-1202.25+3.5*B56</f>
        <v>10579.25</v>
      </c>
      <c r="F56" s="533"/>
      <c r="G56" s="538"/>
      <c r="H56" s="538"/>
      <c r="I56" s="537"/>
      <c r="J56" s="533"/>
      <c r="K56" s="538"/>
      <c r="L56" s="538"/>
      <c r="M56" s="538"/>
      <c r="N56" s="533"/>
      <c r="O56" s="538"/>
      <c r="P56" s="538"/>
      <c r="Q56" s="537"/>
      <c r="R56" s="533"/>
      <c r="S56" s="538"/>
      <c r="T56" s="538"/>
      <c r="U56" s="537"/>
      <c r="V56" s="533"/>
      <c r="W56" s="537"/>
    </row>
    <row r="57" spans="2:23" x14ac:dyDescent="0.25">
      <c r="B57" s="533"/>
      <c r="C57" s="539"/>
      <c r="D57" s="538"/>
      <c r="E57" s="536"/>
      <c r="F57" s="533"/>
      <c r="G57" s="538"/>
      <c r="H57" s="538"/>
      <c r="I57" s="537"/>
      <c r="J57" s="533">
        <f>J49+1</f>
        <v>6</v>
      </c>
      <c r="K57" s="538">
        <f>$C$6-1554+14*J57</f>
        <v>10231</v>
      </c>
      <c r="L57" s="535" t="s">
        <v>106</v>
      </c>
      <c r="M57" s="538">
        <f>$C$6-1204+14*J57</f>
        <v>10581</v>
      </c>
      <c r="N57" s="533"/>
      <c r="O57" s="538"/>
      <c r="P57" s="538"/>
      <c r="Q57" s="537"/>
      <c r="R57" s="533"/>
      <c r="S57" s="538"/>
      <c r="T57" s="538"/>
      <c r="U57" s="537"/>
      <c r="V57" s="533"/>
      <c r="W57" s="537"/>
    </row>
    <row r="58" spans="2:23" x14ac:dyDescent="0.25">
      <c r="B58" s="533">
        <f>B56+1</f>
        <v>24</v>
      </c>
      <c r="C58" s="539">
        <f t="shared" ref="C58" si="34">$C$6-1552.25+3.5*B58</f>
        <v>10232.75</v>
      </c>
      <c r="D58" s="538" t="s">
        <v>106</v>
      </c>
      <c r="E58" s="536">
        <f t="shared" ref="E58" si="35">$C$6-1202.25+3.5*B58</f>
        <v>10582.75</v>
      </c>
      <c r="F58" s="533"/>
      <c r="G58" s="538"/>
      <c r="H58" s="538"/>
      <c r="I58" s="537"/>
      <c r="J58" s="533"/>
      <c r="K58" s="538"/>
      <c r="L58" s="538"/>
      <c r="M58" s="538"/>
      <c r="N58" s="533"/>
      <c r="O58" s="538"/>
      <c r="P58" s="538"/>
      <c r="Q58" s="537"/>
      <c r="R58" s="533"/>
      <c r="S58" s="538"/>
      <c r="T58" s="538"/>
      <c r="U58" s="537"/>
      <c r="V58" s="533"/>
      <c r="W58" s="537"/>
    </row>
    <row r="59" spans="2:23" x14ac:dyDescent="0.25">
      <c r="B59" s="533"/>
      <c r="C59" s="539"/>
      <c r="D59" s="538"/>
      <c r="E59" s="536"/>
      <c r="F59" s="533">
        <f>F55+1</f>
        <v>12</v>
      </c>
      <c r="G59" s="538">
        <f>$C$6-1550.5+7*F59</f>
        <v>10234.5</v>
      </c>
      <c r="H59" s="538" t="s">
        <v>106</v>
      </c>
      <c r="I59" s="537">
        <f>$C$6-1200.5+7*F59</f>
        <v>10584.5</v>
      </c>
      <c r="J59" s="533"/>
      <c r="K59" s="538"/>
      <c r="L59" s="538"/>
      <c r="M59" s="538"/>
      <c r="N59" s="533"/>
      <c r="O59" s="538"/>
      <c r="P59" s="538"/>
      <c r="Q59" s="537"/>
      <c r="R59" s="533"/>
      <c r="S59" s="538"/>
      <c r="T59" s="538"/>
      <c r="U59" s="537"/>
      <c r="V59" s="533"/>
      <c r="W59" s="537"/>
    </row>
    <row r="60" spans="2:23" x14ac:dyDescent="0.25">
      <c r="B60" s="533">
        <f>B58+1</f>
        <v>25</v>
      </c>
      <c r="C60" s="539">
        <f t="shared" ref="C60" si="36">$C$6-1552.25+3.5*B60</f>
        <v>10236.25</v>
      </c>
      <c r="D60" s="538" t="s">
        <v>106</v>
      </c>
      <c r="E60" s="536">
        <f t="shared" ref="E60" si="37">$C$6-1202.25+3.5*B60</f>
        <v>10586.25</v>
      </c>
      <c r="F60" s="533"/>
      <c r="G60" s="538"/>
      <c r="H60" s="538"/>
      <c r="I60" s="537"/>
      <c r="J60" s="533"/>
      <c r="K60" s="538"/>
      <c r="L60" s="538"/>
      <c r="M60" s="538"/>
      <c r="N60" s="533"/>
      <c r="O60" s="538"/>
      <c r="P60" s="538"/>
      <c r="Q60" s="537"/>
      <c r="R60" s="533"/>
      <c r="S60" s="538"/>
      <c r="T60" s="538"/>
      <c r="U60" s="537"/>
      <c r="V60" s="533"/>
      <c r="W60" s="537"/>
    </row>
    <row r="61" spans="2:23" x14ac:dyDescent="0.25">
      <c r="B61" s="533"/>
      <c r="C61" s="539"/>
      <c r="D61" s="538"/>
      <c r="E61" s="536"/>
      <c r="F61" s="533"/>
      <c r="G61" s="538"/>
      <c r="H61" s="538"/>
      <c r="I61" s="537"/>
      <c r="J61" s="533"/>
      <c r="K61" s="538"/>
      <c r="L61" s="538"/>
      <c r="M61" s="538"/>
      <c r="N61" s="533"/>
      <c r="O61" s="538"/>
      <c r="P61" s="538"/>
      <c r="Q61" s="537"/>
      <c r="R61" s="533">
        <v>3</v>
      </c>
      <c r="S61" s="538">
        <f>$C$6-1547+28*R61</f>
        <v>10238</v>
      </c>
      <c r="T61" s="538" t="s">
        <v>106</v>
      </c>
      <c r="U61" s="537">
        <f>$C$6-1197+28*R61</f>
        <v>10588</v>
      </c>
      <c r="V61" s="533"/>
      <c r="W61" s="537"/>
    </row>
    <row r="62" spans="2:23" x14ac:dyDescent="0.25">
      <c r="B62" s="533">
        <f>B60+1</f>
        <v>26</v>
      </c>
      <c r="C62" s="539">
        <f>$C$6-1552.25+3.5*B62</f>
        <v>10239.75</v>
      </c>
      <c r="D62" s="538" t="s">
        <v>106</v>
      </c>
      <c r="E62" s="536">
        <f t="shared" ref="E62" si="38">$C$6-1202.25+3.5*B62</f>
        <v>10589.75</v>
      </c>
      <c r="F62" s="533"/>
      <c r="G62" s="538"/>
      <c r="H62" s="538"/>
      <c r="I62" s="537"/>
      <c r="J62" s="533"/>
      <c r="K62" s="538"/>
      <c r="L62" s="538"/>
      <c r="M62" s="538"/>
      <c r="N62" s="533"/>
      <c r="O62" s="538"/>
      <c r="P62" s="538"/>
      <c r="Q62" s="537"/>
      <c r="R62" s="533"/>
      <c r="S62" s="538"/>
      <c r="T62" s="538"/>
      <c r="U62" s="537"/>
      <c r="V62" s="533"/>
      <c r="W62" s="537"/>
    </row>
    <row r="63" spans="2:23" x14ac:dyDescent="0.25">
      <c r="B63" s="533"/>
      <c r="C63" s="539"/>
      <c r="D63" s="538"/>
      <c r="E63" s="536"/>
      <c r="F63" s="533">
        <f>F59+1</f>
        <v>13</v>
      </c>
      <c r="G63" s="538">
        <f>$C$6-1550.5+7*F63</f>
        <v>10241.5</v>
      </c>
      <c r="H63" s="538" t="s">
        <v>106</v>
      </c>
      <c r="I63" s="537">
        <f>$C$6-1200.5+7*F63</f>
        <v>10591.5</v>
      </c>
      <c r="J63" s="533"/>
      <c r="K63" s="538"/>
      <c r="L63" s="538"/>
      <c r="M63" s="538"/>
      <c r="N63" s="533"/>
      <c r="O63" s="538"/>
      <c r="P63" s="538"/>
      <c r="Q63" s="537"/>
      <c r="R63" s="533"/>
      <c r="S63" s="538"/>
      <c r="T63" s="538"/>
      <c r="U63" s="537"/>
      <c r="V63" s="533"/>
      <c r="W63" s="537"/>
    </row>
    <row r="64" spans="2:23" x14ac:dyDescent="0.25">
      <c r="B64" s="533">
        <f>B62+1</f>
        <v>27</v>
      </c>
      <c r="C64" s="539">
        <f t="shared" ref="C64" si="39">$C$6-1552.25+3.5*B64</f>
        <v>10243.25</v>
      </c>
      <c r="D64" s="538" t="s">
        <v>106</v>
      </c>
      <c r="E64" s="536">
        <f t="shared" ref="E64" si="40">$C$6-1202.25+3.5*B64</f>
        <v>10593.25</v>
      </c>
      <c r="F64" s="533"/>
      <c r="G64" s="538"/>
      <c r="H64" s="538"/>
      <c r="I64" s="537"/>
      <c r="J64" s="533"/>
      <c r="K64" s="538"/>
      <c r="L64" s="538"/>
      <c r="M64" s="538"/>
      <c r="N64" s="533"/>
      <c r="O64" s="538"/>
      <c r="P64" s="538"/>
      <c r="Q64" s="537"/>
      <c r="R64" s="533"/>
      <c r="S64" s="538"/>
      <c r="T64" s="538"/>
      <c r="U64" s="537"/>
      <c r="V64" s="533"/>
      <c r="W64" s="537"/>
    </row>
    <row r="65" spans="2:25" x14ac:dyDescent="0.25">
      <c r="B65" s="533"/>
      <c r="C65" s="539"/>
      <c r="D65" s="538"/>
      <c r="E65" s="536"/>
      <c r="F65" s="533"/>
      <c r="G65" s="538"/>
      <c r="H65" s="538"/>
      <c r="I65" s="537"/>
      <c r="J65" s="533">
        <f>J57+1</f>
        <v>7</v>
      </c>
      <c r="K65" s="538">
        <f>$C$6-1554+14*J65</f>
        <v>10245</v>
      </c>
      <c r="L65" s="535" t="s">
        <v>106</v>
      </c>
      <c r="M65" s="538">
        <f>$C$6-1204+14*J65</f>
        <v>10595</v>
      </c>
      <c r="N65" s="533"/>
      <c r="O65" s="538"/>
      <c r="P65" s="538"/>
      <c r="Q65" s="537"/>
      <c r="R65" s="533"/>
      <c r="S65" s="538"/>
      <c r="T65" s="538"/>
      <c r="U65" s="537"/>
      <c r="V65" s="533"/>
      <c r="W65" s="537"/>
    </row>
    <row r="66" spans="2:25" x14ac:dyDescent="0.25">
      <c r="B66" s="533">
        <f>B64+1</f>
        <v>28</v>
      </c>
      <c r="C66" s="539">
        <f t="shared" ref="C66" si="41">$C$6-1552.25+3.5*B66</f>
        <v>10246.75</v>
      </c>
      <c r="D66" s="538" t="s">
        <v>106</v>
      </c>
      <c r="E66" s="536">
        <f t="shared" ref="E66" si="42">$C$6-1202.25+3.5*B66</f>
        <v>10596.75</v>
      </c>
      <c r="F66" s="533"/>
      <c r="G66" s="538"/>
      <c r="H66" s="538"/>
      <c r="I66" s="537"/>
      <c r="J66" s="533"/>
      <c r="K66" s="538"/>
      <c r="L66" s="538"/>
      <c r="M66" s="538"/>
      <c r="N66" s="533"/>
      <c r="O66" s="538"/>
      <c r="P66" s="538"/>
      <c r="Q66" s="537"/>
      <c r="R66" s="533"/>
      <c r="S66" s="538"/>
      <c r="T66" s="538"/>
      <c r="U66" s="537"/>
      <c r="V66" s="533"/>
      <c r="W66" s="537"/>
    </row>
    <row r="67" spans="2:25" x14ac:dyDescent="0.25">
      <c r="B67" s="533"/>
      <c r="C67" s="539"/>
      <c r="D67" s="538"/>
      <c r="E67" s="536"/>
      <c r="F67" s="533">
        <f>F63+1</f>
        <v>14</v>
      </c>
      <c r="G67" s="538">
        <f>$C$6-1550.5+7*F67</f>
        <v>10248.5</v>
      </c>
      <c r="H67" s="538" t="s">
        <v>106</v>
      </c>
      <c r="I67" s="537">
        <f>$C$6-1200.5+7*F67</f>
        <v>10598.5</v>
      </c>
      <c r="J67" s="533"/>
      <c r="K67" s="538"/>
      <c r="L67" s="538"/>
      <c r="M67" s="538"/>
      <c r="N67" s="533"/>
      <c r="O67" s="538"/>
      <c r="P67" s="538"/>
      <c r="Q67" s="537"/>
      <c r="R67" s="533"/>
      <c r="S67" s="538"/>
      <c r="T67" s="538"/>
      <c r="U67" s="537"/>
      <c r="V67" s="533"/>
      <c r="W67" s="537"/>
    </row>
    <row r="68" spans="2:25" x14ac:dyDescent="0.25">
      <c r="B68" s="533">
        <f>B66+1</f>
        <v>29</v>
      </c>
      <c r="C68" s="539">
        <f t="shared" ref="C68" si="43">$C$6-1552.25+3.5*B68</f>
        <v>10250.25</v>
      </c>
      <c r="D68" s="538" t="s">
        <v>106</v>
      </c>
      <c r="E68" s="536">
        <f t="shared" ref="E68" si="44">$C$6-1202.25+3.5*B68</f>
        <v>10600.25</v>
      </c>
      <c r="F68" s="533"/>
      <c r="G68" s="538"/>
      <c r="H68" s="538"/>
      <c r="I68" s="537"/>
      <c r="J68" s="533"/>
      <c r="K68" s="538"/>
      <c r="L68" s="538"/>
      <c r="M68" s="538"/>
      <c r="N68" s="533"/>
      <c r="O68" s="538"/>
      <c r="P68" s="538"/>
      <c r="Q68" s="537"/>
      <c r="R68" s="533"/>
      <c r="S68" s="538"/>
      <c r="T68" s="538"/>
      <c r="U68" s="537"/>
      <c r="V68" s="533"/>
      <c r="W68" s="537"/>
    </row>
    <row r="69" spans="2:25" x14ac:dyDescent="0.25">
      <c r="B69" s="533"/>
      <c r="C69" s="539"/>
      <c r="D69" s="538"/>
      <c r="E69" s="536"/>
      <c r="F69" s="533"/>
      <c r="G69" s="538"/>
      <c r="H69" s="538"/>
      <c r="I69" s="537"/>
      <c r="J69" s="533"/>
      <c r="K69" s="538"/>
      <c r="L69" s="538"/>
      <c r="M69" s="538"/>
      <c r="N69" s="533">
        <f>N53+1</f>
        <v>4</v>
      </c>
      <c r="O69" s="538">
        <f>$C$6-1561+28*N69</f>
        <v>10252</v>
      </c>
      <c r="P69" s="535" t="s">
        <v>106</v>
      </c>
      <c r="Q69" s="537">
        <f>$C$6-1211+28*N69</f>
        <v>10602</v>
      </c>
      <c r="R69" s="533"/>
      <c r="S69" s="538"/>
      <c r="T69" s="535"/>
      <c r="U69" s="537"/>
      <c r="V69" s="533"/>
      <c r="W69" s="537"/>
    </row>
    <row r="70" spans="2:25" x14ac:dyDescent="0.25">
      <c r="B70" s="533">
        <f>B68+1</f>
        <v>30</v>
      </c>
      <c r="C70" s="539">
        <f t="shared" ref="C70" si="45">$C$6-1552.25+3.5*B70</f>
        <v>10253.75</v>
      </c>
      <c r="D70" s="538" t="s">
        <v>106</v>
      </c>
      <c r="E70" s="536">
        <f t="shared" ref="E70" si="46">$C$6-1202.25+3.5*B70</f>
        <v>10603.75</v>
      </c>
      <c r="F70" s="533"/>
      <c r="G70" s="538"/>
      <c r="H70" s="538"/>
      <c r="I70" s="537"/>
      <c r="J70" s="533"/>
      <c r="K70" s="538"/>
      <c r="L70" s="538"/>
      <c r="M70" s="538"/>
      <c r="N70" s="533"/>
      <c r="O70" s="538"/>
      <c r="P70" s="538"/>
      <c r="Q70" s="537"/>
      <c r="R70" s="533"/>
      <c r="S70" s="538"/>
      <c r="T70" s="538"/>
      <c r="U70" s="537"/>
      <c r="V70" s="533"/>
      <c r="W70" s="537"/>
    </row>
    <row r="71" spans="2:25" x14ac:dyDescent="0.25">
      <c r="B71" s="533"/>
      <c r="C71" s="539"/>
      <c r="D71" s="538"/>
      <c r="E71" s="536"/>
      <c r="F71" s="533">
        <f>F67+1</f>
        <v>15</v>
      </c>
      <c r="G71" s="538">
        <f>$C$6-1550.5+7*F71</f>
        <v>10255.5</v>
      </c>
      <c r="H71" s="538" t="s">
        <v>106</v>
      </c>
      <c r="I71" s="537">
        <f>$C$6-1200.5+7*F71</f>
        <v>10605.5</v>
      </c>
      <c r="J71" s="533"/>
      <c r="K71" s="538"/>
      <c r="L71" s="538"/>
      <c r="M71" s="538"/>
      <c r="N71" s="533"/>
      <c r="O71" s="538"/>
      <c r="P71" s="538"/>
      <c r="Q71" s="537"/>
      <c r="R71" s="533"/>
      <c r="S71" s="538"/>
      <c r="T71" s="538"/>
      <c r="U71" s="537"/>
      <c r="V71" s="533"/>
      <c r="W71" s="537"/>
    </row>
    <row r="72" spans="2:25" x14ac:dyDescent="0.25">
      <c r="B72" s="533">
        <f>B70+1</f>
        <v>31</v>
      </c>
      <c r="C72" s="539">
        <f t="shared" ref="C72" si="47">$C$6-1552.25+3.5*B72</f>
        <v>10257.25</v>
      </c>
      <c r="D72" s="538" t="s">
        <v>106</v>
      </c>
      <c r="E72" s="536">
        <f t="shared" ref="E72" si="48">$C$6-1202.25+3.5*B72</f>
        <v>10607.25</v>
      </c>
      <c r="F72" s="533"/>
      <c r="G72" s="538"/>
      <c r="H72" s="538"/>
      <c r="I72" s="537"/>
      <c r="J72" s="533"/>
      <c r="K72" s="538"/>
      <c r="L72" s="538"/>
      <c r="M72" s="538"/>
      <c r="N72" s="533"/>
      <c r="O72" s="538"/>
      <c r="P72" s="538"/>
      <c r="Q72" s="537"/>
      <c r="R72" s="533"/>
      <c r="S72" s="538"/>
      <c r="T72" s="538"/>
      <c r="U72" s="537"/>
      <c r="V72" s="533"/>
      <c r="W72" s="537"/>
    </row>
    <row r="73" spans="2:25" x14ac:dyDescent="0.25">
      <c r="B73" s="533"/>
      <c r="C73" s="539"/>
      <c r="D73" s="538"/>
      <c r="E73" s="536"/>
      <c r="F73" s="533"/>
      <c r="G73" s="538"/>
      <c r="H73" s="538"/>
      <c r="I73" s="537"/>
      <c r="J73" s="533">
        <f>J65+1</f>
        <v>8</v>
      </c>
      <c r="K73" s="538">
        <f>$C$6-1554+14*J73</f>
        <v>10259</v>
      </c>
      <c r="L73" s="535" t="s">
        <v>106</v>
      </c>
      <c r="M73" s="538">
        <f>$C$6-1204+14*J73</f>
        <v>10609</v>
      </c>
      <c r="N73" s="533"/>
      <c r="O73" s="538"/>
      <c r="P73" s="538"/>
      <c r="Q73" s="537"/>
      <c r="R73" s="533"/>
      <c r="S73" s="538"/>
      <c r="T73" s="538"/>
      <c r="U73" s="537"/>
      <c r="V73" s="533"/>
      <c r="W73" s="537"/>
    </row>
    <row r="74" spans="2:25" x14ac:dyDescent="0.25">
      <c r="B74" s="533">
        <f>B72+1</f>
        <v>32</v>
      </c>
      <c r="C74" s="539">
        <f t="shared" ref="C74" si="49">$C$6-1552.25+3.5*B74</f>
        <v>10260.75</v>
      </c>
      <c r="D74" s="538" t="s">
        <v>106</v>
      </c>
      <c r="E74" s="536">
        <f t="shared" ref="E74" si="50">$C$6-1202.25+3.5*B74</f>
        <v>10610.75</v>
      </c>
      <c r="F74" s="533"/>
      <c r="G74" s="538"/>
      <c r="H74" s="538"/>
      <c r="I74" s="537"/>
      <c r="J74" s="533"/>
      <c r="K74" s="538"/>
      <c r="L74" s="538"/>
      <c r="M74" s="538"/>
      <c r="N74" s="533"/>
      <c r="O74" s="538"/>
      <c r="P74" s="538"/>
      <c r="Q74" s="537"/>
      <c r="R74" s="533"/>
      <c r="S74" s="538"/>
      <c r="T74" s="538"/>
      <c r="U74" s="537"/>
      <c r="V74" s="533"/>
      <c r="W74" s="537"/>
    </row>
    <row r="75" spans="2:25" x14ac:dyDescent="0.25">
      <c r="B75" s="533"/>
      <c r="C75" s="539"/>
      <c r="D75" s="538"/>
      <c r="E75" s="536"/>
      <c r="F75" s="533">
        <f>F71+1</f>
        <v>16</v>
      </c>
      <c r="G75" s="538">
        <f>$C$6-1550.5+7*F75</f>
        <v>10262.5</v>
      </c>
      <c r="H75" s="538" t="s">
        <v>106</v>
      </c>
      <c r="I75" s="537">
        <f>$C$6-1200.5+7*F75</f>
        <v>10612.5</v>
      </c>
      <c r="J75" s="533"/>
      <c r="K75" s="538"/>
      <c r="L75" s="538"/>
      <c r="M75" s="538"/>
      <c r="N75" s="533"/>
      <c r="O75" s="538"/>
      <c r="P75" s="538"/>
      <c r="Q75" s="537"/>
      <c r="R75" s="533"/>
      <c r="S75" s="538"/>
      <c r="T75" s="538"/>
      <c r="U75" s="537"/>
      <c r="V75" s="533"/>
      <c r="W75" s="537"/>
    </row>
    <row r="76" spans="2:25" x14ac:dyDescent="0.25">
      <c r="B76" s="533">
        <f>B74+1</f>
        <v>33</v>
      </c>
      <c r="C76" s="539">
        <f t="shared" ref="C76" si="51">$C$6-1552.25+3.5*B76</f>
        <v>10264.25</v>
      </c>
      <c r="D76" s="538" t="s">
        <v>106</v>
      </c>
      <c r="E76" s="536">
        <f t="shared" ref="E76" si="52">$C$6-1202.25+3.5*B76</f>
        <v>10614.25</v>
      </c>
      <c r="F76" s="533"/>
      <c r="G76" s="538"/>
      <c r="H76" s="538"/>
      <c r="I76" s="537"/>
      <c r="J76" s="533"/>
      <c r="K76" s="538"/>
      <c r="L76" s="538"/>
      <c r="M76" s="538"/>
      <c r="N76" s="533"/>
      <c r="O76" s="538"/>
      <c r="P76" s="538"/>
      <c r="Q76" s="537"/>
      <c r="R76" s="533"/>
      <c r="S76" s="538"/>
      <c r="T76" s="538"/>
      <c r="U76" s="537"/>
      <c r="V76" s="533"/>
      <c r="W76" s="537"/>
    </row>
    <row r="77" spans="2:25" x14ac:dyDescent="0.25">
      <c r="B77" s="533"/>
      <c r="C77" s="539"/>
      <c r="D77" s="538"/>
      <c r="E77" s="536"/>
      <c r="F77" s="533"/>
      <c r="G77" s="538"/>
      <c r="H77" s="538"/>
      <c r="I77" s="537"/>
      <c r="J77" s="533"/>
      <c r="K77" s="538"/>
      <c r="L77" s="538"/>
      <c r="M77" s="538"/>
      <c r="N77" s="533"/>
      <c r="O77" s="538"/>
      <c r="P77" s="538"/>
      <c r="Q77" s="537"/>
      <c r="R77" s="533">
        <v>4</v>
      </c>
      <c r="S77" s="538">
        <f>S93-56/2</f>
        <v>10266</v>
      </c>
      <c r="T77" s="538"/>
      <c r="U77" s="537">
        <f>U93-56/2</f>
        <v>10616</v>
      </c>
      <c r="V77" s="533"/>
      <c r="W77" s="537"/>
    </row>
    <row r="78" spans="2:25" x14ac:dyDescent="0.25">
      <c r="B78" s="136">
        <f>B76+1</f>
        <v>34</v>
      </c>
      <c r="C78" s="131">
        <f>$C$6-1552.25+3.5*B78</f>
        <v>10267.75</v>
      </c>
      <c r="D78" t="s">
        <v>106</v>
      </c>
      <c r="E78" s="137">
        <f t="shared" ref="E78" si="53">$C$6-1202.25+3.5*B78</f>
        <v>10617.75</v>
      </c>
      <c r="F78" s="136"/>
      <c r="I78" s="150"/>
      <c r="J78" s="136"/>
      <c r="N78" s="136"/>
      <c r="Q78" s="150"/>
      <c r="R78" s="533"/>
      <c r="S78" s="538"/>
      <c r="T78" s="538"/>
      <c r="U78" s="537"/>
      <c r="V78" s="136"/>
      <c r="W78" s="150"/>
      <c r="Y78" t="s">
        <v>163</v>
      </c>
    </row>
    <row r="79" spans="2:25" x14ac:dyDescent="0.25">
      <c r="B79" s="136"/>
      <c r="C79" s="131"/>
      <c r="E79" s="137"/>
      <c r="F79" s="136">
        <f>F75+1</f>
        <v>17</v>
      </c>
      <c r="G79">
        <f>$C$6-1550.5+7*F79</f>
        <v>10269.5</v>
      </c>
      <c r="H79" t="s">
        <v>106</v>
      </c>
      <c r="I79" s="150">
        <f>$C$6-1200.5+7*F79</f>
        <v>10619.5</v>
      </c>
      <c r="J79" s="136"/>
      <c r="N79" s="136"/>
      <c r="Q79" s="150"/>
      <c r="R79" s="533"/>
      <c r="S79" s="538"/>
      <c r="T79" s="538"/>
      <c r="U79" s="537"/>
      <c r="V79" s="136"/>
      <c r="W79" s="150"/>
      <c r="Y79" t="s">
        <v>164</v>
      </c>
    </row>
    <row r="80" spans="2:25" x14ac:dyDescent="0.25">
      <c r="B80" s="136">
        <f>B78+1</f>
        <v>35</v>
      </c>
      <c r="C80" s="131">
        <f t="shared" ref="C80" si="54">$C$6-1552.25+3.5*B80</f>
        <v>10271.25</v>
      </c>
      <c r="D80" t="s">
        <v>106</v>
      </c>
      <c r="E80" s="137">
        <f t="shared" ref="E80" si="55">$C$6-1202.25+3.5*B80</f>
        <v>10621.25</v>
      </c>
      <c r="F80" s="136"/>
      <c r="I80" s="150"/>
      <c r="J80" s="136"/>
      <c r="N80" s="136"/>
      <c r="Q80" s="150"/>
      <c r="R80" s="533"/>
      <c r="S80" s="538"/>
      <c r="T80" s="538"/>
      <c r="U80" s="537"/>
      <c r="V80" s="136"/>
      <c r="W80" s="150"/>
      <c r="Y80" t="s">
        <v>165</v>
      </c>
    </row>
    <row r="81" spans="2:25" x14ac:dyDescent="0.25">
      <c r="B81" s="136"/>
      <c r="C81" s="131"/>
      <c r="E81" s="137"/>
      <c r="F81" s="136"/>
      <c r="I81" s="150"/>
      <c r="J81" s="136">
        <f>J73+1</f>
        <v>9</v>
      </c>
      <c r="K81">
        <f>$C$6-1554+14*J81</f>
        <v>10273</v>
      </c>
      <c r="L81" s="146" t="s">
        <v>106</v>
      </c>
      <c r="M81">
        <f>$C$6-1204+14*J81</f>
        <v>10623</v>
      </c>
      <c r="N81" s="136"/>
      <c r="Q81" s="150"/>
      <c r="R81" s="533"/>
      <c r="S81" s="538"/>
      <c r="T81" s="538"/>
      <c r="U81" s="537"/>
      <c r="V81" s="136"/>
      <c r="W81" s="150"/>
      <c r="Y81" s="151"/>
    </row>
    <row r="82" spans="2:25" x14ac:dyDescent="0.25">
      <c r="B82" s="136">
        <f>B80+1</f>
        <v>36</v>
      </c>
      <c r="C82" s="131">
        <f t="shared" ref="C82" si="56">$C$6-1552.25+3.5*B82</f>
        <v>10274.75</v>
      </c>
      <c r="D82" t="s">
        <v>106</v>
      </c>
      <c r="E82" s="137">
        <f t="shared" ref="E82" si="57">$C$6-1202.25+3.5*B82</f>
        <v>10624.75</v>
      </c>
      <c r="F82" s="136"/>
      <c r="I82" s="150"/>
      <c r="J82" s="136"/>
      <c r="N82" s="136"/>
      <c r="Q82" s="150"/>
      <c r="R82" s="533"/>
      <c r="S82" s="538"/>
      <c r="T82" s="538"/>
      <c r="U82" s="537"/>
      <c r="V82" s="136"/>
      <c r="W82" s="150"/>
    </row>
    <row r="83" spans="2:25" x14ac:dyDescent="0.25">
      <c r="B83" s="136"/>
      <c r="C83" s="131"/>
      <c r="E83" s="137"/>
      <c r="F83" s="136">
        <f>F79+1</f>
        <v>18</v>
      </c>
      <c r="G83">
        <f>$C$6-1550.5+7*F83</f>
        <v>10276.5</v>
      </c>
      <c r="H83" t="s">
        <v>106</v>
      </c>
      <c r="I83" s="150">
        <f>$C$6-1200.5+7*F83</f>
        <v>10626.5</v>
      </c>
      <c r="J83" s="136"/>
      <c r="N83" s="136"/>
      <c r="Q83" s="150"/>
      <c r="R83" s="533"/>
      <c r="S83" s="538"/>
      <c r="T83" s="538"/>
      <c r="U83" s="537"/>
      <c r="V83" s="136"/>
      <c r="W83" s="150"/>
    </row>
    <row r="84" spans="2:25" x14ac:dyDescent="0.25">
      <c r="B84" s="136">
        <f>B82+1</f>
        <v>37</v>
      </c>
      <c r="C84" s="131">
        <f t="shared" ref="C84" si="58">$C$6-1552.25+3.5*B84</f>
        <v>10278.25</v>
      </c>
      <c r="D84" t="s">
        <v>106</v>
      </c>
      <c r="E84" s="137">
        <f t="shared" ref="E84" si="59">$C$6-1202.25+3.5*B84</f>
        <v>10628.25</v>
      </c>
      <c r="F84" s="136"/>
      <c r="I84" s="150"/>
      <c r="J84" s="136"/>
      <c r="N84" s="136"/>
      <c r="Q84" s="150"/>
      <c r="R84" s="533"/>
      <c r="S84" s="538"/>
      <c r="T84" s="538"/>
      <c r="U84" s="537"/>
      <c r="V84" s="136"/>
      <c r="W84" s="150"/>
    </row>
    <row r="85" spans="2:25" x14ac:dyDescent="0.25">
      <c r="B85" s="136"/>
      <c r="C85" s="131"/>
      <c r="E85" s="137"/>
      <c r="F85" s="136"/>
      <c r="I85" s="150"/>
      <c r="J85" s="136"/>
      <c r="N85" s="136">
        <f>N69+1</f>
        <v>5</v>
      </c>
      <c r="O85">
        <f>$C$6-1561+28*N85</f>
        <v>10280</v>
      </c>
      <c r="P85" s="146" t="s">
        <v>106</v>
      </c>
      <c r="Q85" s="150">
        <f>$C$6-1211+28*N85</f>
        <v>10630</v>
      </c>
      <c r="R85" s="533"/>
      <c r="S85" s="538"/>
      <c r="T85" s="535"/>
      <c r="U85" s="537"/>
      <c r="V85" s="136" t="s">
        <v>166</v>
      </c>
      <c r="W85" s="150"/>
    </row>
    <row r="86" spans="2:25" x14ac:dyDescent="0.25">
      <c r="B86" s="136">
        <f>B84+1</f>
        <v>38</v>
      </c>
      <c r="C86" s="131">
        <f t="shared" ref="C86" si="60">$C$6-1552.25+3.5*B86</f>
        <v>10281.75</v>
      </c>
      <c r="D86" t="s">
        <v>106</v>
      </c>
      <c r="E86" s="137">
        <f t="shared" ref="E86" si="61">$C$6-1202.25+3.5*B86</f>
        <v>10631.75</v>
      </c>
      <c r="F86" s="136"/>
      <c r="I86" s="150"/>
      <c r="J86" s="136"/>
      <c r="N86" s="136"/>
      <c r="Q86" s="150"/>
      <c r="R86" s="533"/>
      <c r="S86" s="538"/>
      <c r="T86" s="538"/>
      <c r="U86" s="537"/>
      <c r="V86" s="136"/>
      <c r="W86" s="150"/>
    </row>
    <row r="87" spans="2:25" x14ac:dyDescent="0.25">
      <c r="B87" s="136"/>
      <c r="C87" s="131"/>
      <c r="E87" s="137"/>
      <c r="F87" s="136">
        <f>F83+1</f>
        <v>19</v>
      </c>
      <c r="G87">
        <f>$C$6-1550.5+7*F87</f>
        <v>10283.5</v>
      </c>
      <c r="H87" t="s">
        <v>106</v>
      </c>
      <c r="I87" s="150">
        <f>$C$6-1200.5+7*F87</f>
        <v>10633.5</v>
      </c>
      <c r="J87" s="136"/>
      <c r="N87" s="136"/>
      <c r="Q87" s="150"/>
      <c r="R87" s="533"/>
      <c r="S87" s="538"/>
      <c r="T87" s="538"/>
      <c r="U87" s="537"/>
      <c r="V87" s="136"/>
      <c r="W87" s="150"/>
    </row>
    <row r="88" spans="2:25" x14ac:dyDescent="0.25">
      <c r="B88" s="136">
        <f>B86+1</f>
        <v>39</v>
      </c>
      <c r="C88" s="131">
        <f t="shared" ref="C88" si="62">$C$6-1552.25+3.5*B88</f>
        <v>10285.25</v>
      </c>
      <c r="D88" t="s">
        <v>106</v>
      </c>
      <c r="E88" s="137">
        <f t="shared" ref="E88" si="63">$C$6-1202.25+3.5*B88</f>
        <v>10635.25</v>
      </c>
      <c r="F88" s="136"/>
      <c r="I88" s="150"/>
      <c r="J88" s="136"/>
      <c r="N88" s="136"/>
      <c r="Q88" s="150"/>
      <c r="R88" s="533"/>
      <c r="S88" s="538"/>
      <c r="T88" s="538"/>
      <c r="U88" s="537"/>
      <c r="V88" s="136"/>
      <c r="W88" s="150"/>
    </row>
    <row r="89" spans="2:25" x14ac:dyDescent="0.25">
      <c r="B89" s="136"/>
      <c r="C89" s="131"/>
      <c r="E89" s="137"/>
      <c r="F89" s="136"/>
      <c r="I89" s="150"/>
      <c r="J89" s="136">
        <f>J81+1</f>
        <v>10</v>
      </c>
      <c r="K89">
        <f>$C$6-1554+14*J89</f>
        <v>10287</v>
      </c>
      <c r="L89" s="146" t="s">
        <v>106</v>
      </c>
      <c r="M89">
        <f>$C$6-1204+14*J89</f>
        <v>10637</v>
      </c>
      <c r="N89" s="136"/>
      <c r="Q89" s="150"/>
      <c r="R89" s="533"/>
      <c r="S89" s="538"/>
      <c r="T89" s="538"/>
      <c r="U89" s="537"/>
      <c r="V89" s="136"/>
      <c r="W89" s="150"/>
    </row>
    <row r="90" spans="2:25" x14ac:dyDescent="0.25">
      <c r="B90" s="136">
        <f>B88+1</f>
        <v>40</v>
      </c>
      <c r="C90" s="131">
        <f t="shared" ref="C90" si="64">$C$6-1552.25+3.5*B90</f>
        <v>10288.75</v>
      </c>
      <c r="D90" t="s">
        <v>106</v>
      </c>
      <c r="E90" s="137">
        <f t="shared" ref="E90" si="65">$C$6-1202.25+3.5*B90</f>
        <v>10638.75</v>
      </c>
      <c r="F90" s="136"/>
      <c r="I90" s="150"/>
      <c r="J90" s="136"/>
      <c r="N90" s="136"/>
      <c r="Q90" s="150"/>
      <c r="R90" s="533"/>
      <c r="S90" s="538"/>
      <c r="T90" s="538"/>
      <c r="U90" s="537"/>
      <c r="V90" s="136"/>
      <c r="W90" s="150"/>
    </row>
    <row r="91" spans="2:25" x14ac:dyDescent="0.25">
      <c r="B91" s="136"/>
      <c r="C91" s="131"/>
      <c r="E91" s="137"/>
      <c r="F91" s="136">
        <f>F87+1</f>
        <v>20</v>
      </c>
      <c r="G91">
        <f>$C$6-1550.5+7*F91</f>
        <v>10290.5</v>
      </c>
      <c r="H91" t="s">
        <v>106</v>
      </c>
      <c r="I91" s="150">
        <f>$C$6-1200.5+7*F91</f>
        <v>10640.5</v>
      </c>
      <c r="J91" s="136"/>
      <c r="N91" s="136"/>
      <c r="Q91" s="150"/>
      <c r="R91" s="533"/>
      <c r="S91" s="538"/>
      <c r="T91" s="538"/>
      <c r="U91" s="537"/>
      <c r="V91" s="136"/>
      <c r="W91" s="150"/>
    </row>
    <row r="92" spans="2:25" x14ac:dyDescent="0.25">
      <c r="B92" s="136">
        <f>B90+1</f>
        <v>41</v>
      </c>
      <c r="C92" s="131">
        <f t="shared" ref="C92" si="66">$C$6-1552.25+3.5*B92</f>
        <v>10292.25</v>
      </c>
      <c r="D92" t="s">
        <v>106</v>
      </c>
      <c r="E92" s="137">
        <f t="shared" ref="E92" si="67">$C$6-1202.25+3.5*B92</f>
        <v>10642.25</v>
      </c>
      <c r="F92" s="136"/>
      <c r="I92" s="150"/>
      <c r="J92" s="136"/>
      <c r="N92" s="136"/>
      <c r="Q92" s="150"/>
      <c r="R92" s="533"/>
      <c r="S92" s="538"/>
      <c r="T92" s="538"/>
      <c r="U92" s="537"/>
      <c r="V92" s="136"/>
      <c r="W92" s="150"/>
    </row>
    <row r="93" spans="2:25" x14ac:dyDescent="0.25">
      <c r="B93" s="533"/>
      <c r="C93" s="539"/>
      <c r="D93" s="538"/>
      <c r="E93" s="536"/>
      <c r="F93" s="533"/>
      <c r="G93" s="538"/>
      <c r="H93" s="538"/>
      <c r="I93" s="537"/>
      <c r="J93" s="533"/>
      <c r="K93" s="538"/>
      <c r="L93" s="538"/>
      <c r="M93" s="538"/>
      <c r="N93" s="533"/>
      <c r="O93" s="538"/>
      <c r="P93" s="538"/>
      <c r="Q93" s="537"/>
      <c r="R93" s="533">
        <v>5</v>
      </c>
      <c r="S93" s="538">
        <f>$C$6-1547+28*R93</f>
        <v>10294</v>
      </c>
      <c r="T93" s="538" t="s">
        <v>106</v>
      </c>
      <c r="U93" s="537">
        <f>$C$6-1197+28*R93</f>
        <v>10644</v>
      </c>
      <c r="V93" s="533"/>
      <c r="W93" s="537"/>
    </row>
    <row r="94" spans="2:25" x14ac:dyDescent="0.25">
      <c r="B94" s="533">
        <f>B92+1</f>
        <v>42</v>
      </c>
      <c r="C94" s="539">
        <f>$C$6-1552.25+3.5*B94</f>
        <v>10295.75</v>
      </c>
      <c r="D94" s="538" t="s">
        <v>106</v>
      </c>
      <c r="E94" s="536">
        <f t="shared" ref="E94" si="68">$C$6-1202.25+3.5*B94</f>
        <v>10645.75</v>
      </c>
      <c r="F94" s="533"/>
      <c r="G94" s="538"/>
      <c r="H94" s="538"/>
      <c r="I94" s="537"/>
      <c r="J94" s="533"/>
      <c r="K94" s="538"/>
      <c r="L94" s="538"/>
      <c r="M94" s="538"/>
      <c r="N94" s="533"/>
      <c r="O94" s="538"/>
      <c r="P94" s="538"/>
      <c r="Q94" s="537"/>
      <c r="R94" s="533"/>
      <c r="S94" s="538"/>
      <c r="T94" s="538"/>
      <c r="U94" s="537"/>
      <c r="V94" s="533"/>
      <c r="W94" s="537"/>
    </row>
    <row r="95" spans="2:25" x14ac:dyDescent="0.25">
      <c r="B95" s="533"/>
      <c r="C95" s="539"/>
      <c r="D95" s="538"/>
      <c r="E95" s="536"/>
      <c r="F95" s="533">
        <f>F91+1</f>
        <v>21</v>
      </c>
      <c r="G95" s="538">
        <f>$C$6-1550.5+7*F95</f>
        <v>10297.5</v>
      </c>
      <c r="H95" s="538" t="s">
        <v>106</v>
      </c>
      <c r="I95" s="537">
        <f>$C$6-1200.5+7*F95</f>
        <v>10647.5</v>
      </c>
      <c r="J95" s="533"/>
      <c r="K95" s="538"/>
      <c r="L95" s="538"/>
      <c r="M95" s="538"/>
      <c r="N95" s="533"/>
      <c r="O95" s="538"/>
      <c r="P95" s="538"/>
      <c r="Q95" s="537"/>
      <c r="R95" s="533"/>
      <c r="S95" s="538"/>
      <c r="T95" s="538"/>
      <c r="U95" s="537"/>
      <c r="V95" s="533"/>
      <c r="W95" s="537"/>
    </row>
    <row r="96" spans="2:25" x14ac:dyDescent="0.25">
      <c r="B96" s="533">
        <f>B94+1</f>
        <v>43</v>
      </c>
      <c r="C96" s="539">
        <f t="shared" ref="C96" si="69">$C$6-1552.25+3.5*B96</f>
        <v>10299.25</v>
      </c>
      <c r="D96" s="538" t="s">
        <v>106</v>
      </c>
      <c r="E96" s="536">
        <f t="shared" ref="E96" si="70">$C$6-1202.25+3.5*B96</f>
        <v>10649.25</v>
      </c>
      <c r="F96" s="533"/>
      <c r="G96" s="538"/>
      <c r="H96" s="538"/>
      <c r="I96" s="537"/>
      <c r="J96" s="533"/>
      <c r="K96" s="538"/>
      <c r="L96" s="538"/>
      <c r="M96" s="538"/>
      <c r="N96" s="533"/>
      <c r="O96" s="538"/>
      <c r="P96" s="538"/>
      <c r="Q96" s="537"/>
      <c r="R96" s="533"/>
      <c r="S96" s="538"/>
      <c r="T96" s="538"/>
      <c r="U96" s="537"/>
      <c r="V96" s="533"/>
      <c r="W96" s="537"/>
    </row>
    <row r="97" spans="2:23" x14ac:dyDescent="0.25">
      <c r="B97" s="533"/>
      <c r="C97" s="539"/>
      <c r="D97" s="538"/>
      <c r="E97" s="536"/>
      <c r="F97" s="533"/>
      <c r="G97" s="538"/>
      <c r="H97" s="538"/>
      <c r="I97" s="537"/>
      <c r="J97" s="533">
        <f>J89+1</f>
        <v>11</v>
      </c>
      <c r="K97" s="538">
        <f>$C$6-1554+14*J97</f>
        <v>10301</v>
      </c>
      <c r="L97" s="535" t="s">
        <v>106</v>
      </c>
      <c r="M97" s="538">
        <f>$C$6-1204+14*J97</f>
        <v>10651</v>
      </c>
      <c r="N97" s="533"/>
      <c r="O97" s="538"/>
      <c r="P97" s="538"/>
      <c r="Q97" s="537"/>
      <c r="R97" s="533"/>
      <c r="S97" s="538"/>
      <c r="T97" s="538"/>
      <c r="U97" s="537"/>
      <c r="V97" s="533"/>
      <c r="W97" s="537"/>
    </row>
    <row r="98" spans="2:23" x14ac:dyDescent="0.25">
      <c r="B98" s="533">
        <f>B96+1</f>
        <v>44</v>
      </c>
      <c r="C98" s="539">
        <f t="shared" ref="C98" si="71">$C$6-1552.25+3.5*B98</f>
        <v>10302.75</v>
      </c>
      <c r="D98" s="538" t="s">
        <v>106</v>
      </c>
      <c r="E98" s="536">
        <f t="shared" ref="E98" si="72">$C$6-1202.25+3.5*B98</f>
        <v>10652.75</v>
      </c>
      <c r="F98" s="533"/>
      <c r="G98" s="538"/>
      <c r="H98" s="538"/>
      <c r="I98" s="537"/>
      <c r="J98" s="533"/>
      <c r="K98" s="538"/>
      <c r="L98" s="538"/>
      <c r="M98" s="538"/>
      <c r="N98" s="533"/>
      <c r="O98" s="538"/>
      <c r="P98" s="538"/>
      <c r="Q98" s="537"/>
      <c r="R98" s="533"/>
      <c r="S98" s="538"/>
      <c r="T98" s="538"/>
      <c r="U98" s="537"/>
      <c r="V98" s="533"/>
      <c r="W98" s="537"/>
    </row>
    <row r="99" spans="2:23" x14ac:dyDescent="0.25">
      <c r="B99" s="533"/>
      <c r="C99" s="539"/>
      <c r="D99" s="538"/>
      <c r="E99" s="536"/>
      <c r="F99" s="533">
        <f>F95+1</f>
        <v>22</v>
      </c>
      <c r="G99" s="538">
        <f>$C$6-1550.5+7*F99</f>
        <v>10304.5</v>
      </c>
      <c r="H99" s="538" t="s">
        <v>106</v>
      </c>
      <c r="I99" s="537">
        <f>$C$6-1200.5+7*F99</f>
        <v>10654.5</v>
      </c>
      <c r="J99" s="533"/>
      <c r="K99" s="538"/>
      <c r="L99" s="538"/>
      <c r="M99" s="538"/>
      <c r="N99" s="533"/>
      <c r="O99" s="538"/>
      <c r="P99" s="538"/>
      <c r="Q99" s="537"/>
      <c r="R99" s="533"/>
      <c r="S99" s="538"/>
      <c r="T99" s="538"/>
      <c r="U99" s="537"/>
      <c r="V99" s="533"/>
      <c r="W99" s="537"/>
    </row>
    <row r="100" spans="2:23" x14ac:dyDescent="0.25">
      <c r="B100" s="533">
        <f>B98+1</f>
        <v>45</v>
      </c>
      <c r="C100" s="539">
        <f t="shared" ref="C100" si="73">$C$6-1552.25+3.5*B100</f>
        <v>10306.25</v>
      </c>
      <c r="D100" s="538" t="s">
        <v>106</v>
      </c>
      <c r="E100" s="536">
        <f t="shared" ref="E100" si="74">$C$6-1202.25+3.5*B100</f>
        <v>10656.25</v>
      </c>
      <c r="F100" s="533"/>
      <c r="G100" s="538"/>
      <c r="H100" s="538"/>
      <c r="I100" s="537"/>
      <c r="J100" s="533"/>
      <c r="K100" s="538"/>
      <c r="L100" s="538"/>
      <c r="M100" s="538"/>
      <c r="N100" s="533"/>
      <c r="O100" s="538"/>
      <c r="P100" s="538"/>
      <c r="Q100" s="537"/>
      <c r="R100" s="533"/>
      <c r="S100" s="538"/>
      <c r="T100" s="538"/>
      <c r="U100" s="537"/>
      <c r="V100" s="533"/>
      <c r="W100" s="537"/>
    </row>
    <row r="101" spans="2:23" x14ac:dyDescent="0.25">
      <c r="B101" s="533"/>
      <c r="C101" s="539"/>
      <c r="D101" s="538"/>
      <c r="E101" s="536"/>
      <c r="F101" s="533"/>
      <c r="G101" s="538"/>
      <c r="H101" s="538"/>
      <c r="I101" s="537"/>
      <c r="J101" s="533"/>
      <c r="K101" s="538"/>
      <c r="L101" s="538"/>
      <c r="M101" s="538"/>
      <c r="N101" s="533">
        <f>N85+1</f>
        <v>6</v>
      </c>
      <c r="O101" s="538">
        <f>$C$6-1561+28*N101</f>
        <v>10308</v>
      </c>
      <c r="P101" s="535" t="s">
        <v>106</v>
      </c>
      <c r="Q101" s="537">
        <f>$C$6-1211+28*N101</f>
        <v>10658</v>
      </c>
      <c r="R101" s="533"/>
      <c r="S101" s="538"/>
      <c r="T101" s="535"/>
      <c r="U101" s="537"/>
      <c r="V101" s="533" t="s">
        <v>156</v>
      </c>
      <c r="W101" s="537"/>
    </row>
    <row r="102" spans="2:23" x14ac:dyDescent="0.25">
      <c r="B102" s="533">
        <f>B100+1</f>
        <v>46</v>
      </c>
      <c r="C102" s="539">
        <f t="shared" ref="C102" si="75">$C$6-1552.25+3.5*B102</f>
        <v>10309.75</v>
      </c>
      <c r="D102" s="538" t="s">
        <v>106</v>
      </c>
      <c r="E102" s="536">
        <f t="shared" ref="E102" si="76">$C$6-1202.25+3.5*B102</f>
        <v>10659.75</v>
      </c>
      <c r="F102" s="533"/>
      <c r="G102" s="538"/>
      <c r="H102" s="538"/>
      <c r="I102" s="537"/>
      <c r="J102" s="533"/>
      <c r="K102" s="538"/>
      <c r="L102" s="538"/>
      <c r="M102" s="538"/>
      <c r="N102" s="533"/>
      <c r="O102" s="538"/>
      <c r="P102" s="538"/>
      <c r="Q102" s="537"/>
      <c r="R102" s="533"/>
      <c r="S102" s="538"/>
      <c r="T102" s="538"/>
      <c r="U102" s="537"/>
      <c r="V102" s="533"/>
      <c r="W102" s="537"/>
    </row>
    <row r="103" spans="2:23" x14ac:dyDescent="0.25">
      <c r="B103" s="533"/>
      <c r="C103" s="539"/>
      <c r="D103" s="538"/>
      <c r="E103" s="536"/>
      <c r="F103" s="533">
        <f>F99+1</f>
        <v>23</v>
      </c>
      <c r="G103" s="538">
        <f>$C$6-1550.5+7*F103</f>
        <v>10311.5</v>
      </c>
      <c r="H103" s="538" t="s">
        <v>106</v>
      </c>
      <c r="I103" s="537">
        <f>$C$6-1200.5+7*F103</f>
        <v>10661.5</v>
      </c>
      <c r="J103" s="533"/>
      <c r="K103" s="538"/>
      <c r="L103" s="538"/>
      <c r="M103" s="538"/>
      <c r="N103" s="533"/>
      <c r="O103" s="538"/>
      <c r="P103" s="538"/>
      <c r="Q103" s="537"/>
      <c r="R103" s="533"/>
      <c r="S103" s="538"/>
      <c r="T103" s="538"/>
      <c r="U103" s="537"/>
      <c r="V103" s="533"/>
      <c r="W103" s="537"/>
    </row>
    <row r="104" spans="2:23" x14ac:dyDescent="0.25">
      <c r="B104" s="533">
        <f>B102+1</f>
        <v>47</v>
      </c>
      <c r="C104" s="539">
        <f t="shared" ref="C104" si="77">$C$6-1552.25+3.5*B104</f>
        <v>10313.25</v>
      </c>
      <c r="D104" s="538" t="s">
        <v>106</v>
      </c>
      <c r="E104" s="536">
        <f t="shared" ref="E104" si="78">$C$6-1202.25+3.5*B104</f>
        <v>10663.25</v>
      </c>
      <c r="F104" s="533"/>
      <c r="G104" s="538"/>
      <c r="H104" s="538"/>
      <c r="I104" s="537"/>
      <c r="J104" s="533"/>
      <c r="K104" s="538"/>
      <c r="L104" s="538"/>
      <c r="M104" s="538"/>
      <c r="N104" s="533"/>
      <c r="O104" s="538"/>
      <c r="P104" s="538"/>
      <c r="Q104" s="537"/>
      <c r="R104" s="533"/>
      <c r="S104" s="538"/>
      <c r="T104" s="538"/>
      <c r="U104" s="537"/>
      <c r="V104" s="533"/>
      <c r="W104" s="537"/>
    </row>
    <row r="105" spans="2:23" x14ac:dyDescent="0.25">
      <c r="B105" s="533"/>
      <c r="C105" s="539"/>
      <c r="D105" s="538"/>
      <c r="E105" s="536"/>
      <c r="F105" s="533"/>
      <c r="G105" s="538"/>
      <c r="H105" s="538"/>
      <c r="I105" s="537"/>
      <c r="J105" s="533">
        <f>J97+1</f>
        <v>12</v>
      </c>
      <c r="K105" s="538">
        <f>$C$6-1554+14*J105</f>
        <v>10315</v>
      </c>
      <c r="L105" s="535" t="s">
        <v>106</v>
      </c>
      <c r="M105" s="538">
        <f>$C$6-1204+14*J105</f>
        <v>10665</v>
      </c>
      <c r="N105" s="533"/>
      <c r="O105" s="538"/>
      <c r="P105" s="538"/>
      <c r="Q105" s="537"/>
      <c r="R105" s="533"/>
      <c r="S105" s="538"/>
      <c r="T105" s="538"/>
      <c r="U105" s="537"/>
      <c r="V105" s="533"/>
      <c r="W105" s="537"/>
    </row>
    <row r="106" spans="2:23" x14ac:dyDescent="0.25">
      <c r="B106" s="533">
        <f>B104+1</f>
        <v>48</v>
      </c>
      <c r="C106" s="539">
        <f t="shared" ref="C106" si="79">$C$6-1552.25+3.5*B106</f>
        <v>10316.75</v>
      </c>
      <c r="D106" s="538" t="s">
        <v>106</v>
      </c>
      <c r="E106" s="536">
        <f t="shared" ref="E106" si="80">$C$6-1202.25+3.5*B106</f>
        <v>10666.75</v>
      </c>
      <c r="F106" s="533"/>
      <c r="G106" s="538"/>
      <c r="H106" s="538"/>
      <c r="I106" s="537"/>
      <c r="J106" s="533"/>
      <c r="K106" s="538"/>
      <c r="L106" s="538"/>
      <c r="M106" s="538"/>
      <c r="N106" s="533"/>
      <c r="O106" s="538"/>
      <c r="P106" s="538"/>
      <c r="Q106" s="537"/>
      <c r="R106" s="533"/>
      <c r="S106" s="538"/>
      <c r="T106" s="538"/>
      <c r="U106" s="537"/>
      <c r="V106" s="533"/>
      <c r="W106" s="537"/>
    </row>
    <row r="107" spans="2:23" x14ac:dyDescent="0.25">
      <c r="B107" s="533"/>
      <c r="C107" s="539"/>
      <c r="D107" s="538"/>
      <c r="E107" s="536"/>
      <c r="F107" s="533">
        <f>F103+1</f>
        <v>24</v>
      </c>
      <c r="G107" s="538">
        <f>$C$6-1550.5+7*F107</f>
        <v>10318.5</v>
      </c>
      <c r="H107" s="538" t="s">
        <v>106</v>
      </c>
      <c r="I107" s="537">
        <f>$C$6-1200.5+7*F107</f>
        <v>10668.5</v>
      </c>
      <c r="J107" s="533"/>
      <c r="K107" s="538"/>
      <c r="L107" s="538"/>
      <c r="M107" s="538"/>
      <c r="N107" s="533"/>
      <c r="O107" s="538"/>
      <c r="P107" s="538"/>
      <c r="Q107" s="537"/>
      <c r="R107" s="533"/>
      <c r="S107" s="538"/>
      <c r="T107" s="538"/>
      <c r="U107" s="537"/>
      <c r="V107" s="533"/>
      <c r="W107" s="537"/>
    </row>
    <row r="108" spans="2:23" x14ac:dyDescent="0.25">
      <c r="B108" s="533">
        <f>B106+1</f>
        <v>49</v>
      </c>
      <c r="C108" s="539">
        <f t="shared" ref="C108" si="81">$C$6-1552.25+3.5*B108</f>
        <v>10320.25</v>
      </c>
      <c r="D108" s="538" t="s">
        <v>106</v>
      </c>
      <c r="E108" s="536">
        <f t="shared" ref="E108" si="82">$C$6-1202.25+3.5*B108</f>
        <v>10670.25</v>
      </c>
      <c r="F108" s="533"/>
      <c r="G108" s="538"/>
      <c r="H108" s="538"/>
      <c r="I108" s="537"/>
      <c r="J108" s="533"/>
      <c r="K108" s="538"/>
      <c r="L108" s="538"/>
      <c r="M108" s="538"/>
      <c r="N108" s="533"/>
      <c r="O108" s="538"/>
      <c r="P108" s="538"/>
      <c r="Q108" s="537"/>
      <c r="R108" s="533"/>
      <c r="S108" s="538"/>
      <c r="T108" s="538"/>
      <c r="U108" s="537"/>
      <c r="V108" s="533"/>
      <c r="W108" s="537"/>
    </row>
    <row r="109" spans="2:23" ht="15.75" thickBot="1" x14ac:dyDescent="0.3">
      <c r="B109" s="769"/>
      <c r="C109" s="770"/>
      <c r="D109" s="771"/>
      <c r="E109" s="772"/>
      <c r="F109" s="769"/>
      <c r="G109" s="771"/>
      <c r="H109" s="771"/>
      <c r="I109" s="773"/>
      <c r="J109" s="769"/>
      <c r="K109" s="771"/>
      <c r="L109" s="771"/>
      <c r="M109" s="771"/>
      <c r="N109" s="769"/>
      <c r="O109" s="771"/>
      <c r="P109" s="771"/>
      <c r="Q109" s="773"/>
      <c r="R109" s="769"/>
      <c r="S109" s="771"/>
      <c r="T109" s="771"/>
      <c r="U109" s="773"/>
      <c r="V109" s="769"/>
      <c r="W109" s="773"/>
    </row>
  </sheetData>
  <mergeCells count="5">
    <mergeCell ref="B10:E10"/>
    <mergeCell ref="F10:I10"/>
    <mergeCell ref="J10:M10"/>
    <mergeCell ref="N10:Q10"/>
    <mergeCell ref="R10:U10"/>
  </mergeCells>
  <hyperlinks>
    <hyperlink ref="B2" r:id="rId1" xr:uid="{30ED4EBC-10CC-4A43-ABED-1C73895442A7}"/>
    <hyperlink ref="J1" location="'Oversikt'!A1" display="Oversikt" xr:uid="{9B4B780E-A857-4468-BE7F-F2516DFA93A8}"/>
  </hyperlinks>
  <pageMargins left="0.7" right="0.7" top="0.75" bottom="0.75" header="0.3" footer="0.3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B360-8493-4916-99CF-B22EEA63364A}">
  <sheetPr codeName="Ark12">
    <tabColor theme="7" tint="0.39997558519241921"/>
  </sheetPr>
  <dimension ref="A1:Y131"/>
  <sheetViews>
    <sheetView zoomScale="80" zoomScaleNormal="80" workbookViewId="0">
      <pane ySplit="3" topLeftCell="A7" activePane="bottomLeft" state="frozenSplit"/>
      <selection pane="bottomLeft" activeCell="K16" sqref="K16"/>
    </sheetView>
  </sheetViews>
  <sheetFormatPr baseColWidth="10" defaultColWidth="11.42578125" defaultRowHeight="15" x14ac:dyDescent="0.25"/>
  <cols>
    <col min="1" max="1" width="6.7109375" style="3" customWidth="1"/>
    <col min="2" max="2" width="10.7109375" customWidth="1"/>
    <col min="3" max="3" width="4.7109375" customWidth="1"/>
    <col min="4" max="4" width="10.7109375" customWidth="1"/>
    <col min="5" max="5" width="6.7109375" customWidth="1"/>
    <col min="6" max="6" width="9.7109375" customWidth="1"/>
    <col min="7" max="7" width="4.7109375" customWidth="1"/>
    <col min="8" max="8" width="9.7109375" customWidth="1"/>
    <col min="9" max="9" width="6.7109375" customWidth="1"/>
    <col min="10" max="10" width="8.140625" bestFit="1" customWidth="1"/>
    <col min="11" max="11" width="4.7109375" customWidth="1"/>
    <col min="12" max="12" width="8.140625" bestFit="1" customWidth="1"/>
    <col min="13" max="14" width="6.7109375" customWidth="1"/>
    <col min="15" max="15" width="4.7109375" customWidth="1"/>
    <col min="16" max="18" width="6.7109375" customWidth="1"/>
    <col min="19" max="19" width="4.7109375" customWidth="1"/>
    <col min="20" max="22" width="6.7109375" customWidth="1"/>
    <col min="23" max="23" width="4.7109375" style="3" customWidth="1"/>
    <col min="24" max="24" width="6.7109375" customWidth="1"/>
    <col min="25" max="25" width="29" bestFit="1" customWidth="1"/>
  </cols>
  <sheetData>
    <row r="1" spans="1:25" ht="18.75" x14ac:dyDescent="0.3">
      <c r="A1" s="801" t="s">
        <v>167</v>
      </c>
      <c r="B1" s="44"/>
      <c r="C1" s="45"/>
      <c r="D1" s="46"/>
      <c r="E1" s="45"/>
      <c r="F1" s="47"/>
      <c r="G1" s="45"/>
      <c r="H1" s="46"/>
      <c r="I1" s="45"/>
      <c r="J1" s="47"/>
      <c r="K1" s="48"/>
      <c r="L1" s="49"/>
      <c r="M1" s="50"/>
      <c r="N1" s="800" t="s">
        <v>50</v>
      </c>
      <c r="O1" s="51"/>
      <c r="P1" s="49"/>
      <c r="Q1" s="50"/>
      <c r="R1" s="51"/>
      <c r="S1" s="50"/>
      <c r="T1" s="49"/>
      <c r="U1" s="50"/>
      <c r="V1" s="52"/>
      <c r="W1" s="50"/>
      <c r="X1" s="49"/>
      <c r="Y1" s="49"/>
    </row>
    <row r="2" spans="1:25" ht="15.75" thickBot="1" x14ac:dyDescent="0.3">
      <c r="A2" s="50"/>
      <c r="B2" s="52"/>
      <c r="C2" s="50"/>
      <c r="D2" s="49"/>
      <c r="E2" s="50"/>
      <c r="F2" s="51"/>
      <c r="G2" s="50"/>
      <c r="H2" s="49"/>
      <c r="I2" s="50"/>
      <c r="J2" s="51"/>
      <c r="K2" s="51"/>
      <c r="L2" s="49"/>
      <c r="M2" s="50"/>
      <c r="N2" s="51"/>
      <c r="O2" s="51"/>
      <c r="P2" s="49"/>
      <c r="Q2" s="50"/>
      <c r="R2" s="51"/>
      <c r="S2" s="50"/>
      <c r="T2" s="49"/>
      <c r="U2" s="50"/>
      <c r="V2" s="52"/>
      <c r="W2" s="50"/>
      <c r="X2" s="49"/>
      <c r="Y2" s="51"/>
    </row>
    <row r="3" spans="1:25" ht="15.75" thickBot="1" x14ac:dyDescent="0.3">
      <c r="A3" s="948" t="s">
        <v>168</v>
      </c>
      <c r="B3" s="949"/>
      <c r="C3" s="949"/>
      <c r="D3" s="954"/>
      <c r="E3" s="953" t="s">
        <v>162</v>
      </c>
      <c r="F3" s="949"/>
      <c r="G3" s="949"/>
      <c r="H3" s="954"/>
      <c r="I3" s="953" t="s">
        <v>137</v>
      </c>
      <c r="J3" s="949"/>
      <c r="K3" s="949"/>
      <c r="L3" s="954"/>
      <c r="M3" s="953" t="s">
        <v>138</v>
      </c>
      <c r="N3" s="949"/>
      <c r="O3" s="949"/>
      <c r="P3" s="954"/>
      <c r="Q3" s="953" t="s">
        <v>139</v>
      </c>
      <c r="R3" s="949"/>
      <c r="S3" s="949"/>
      <c r="T3" s="952"/>
      <c r="U3" s="948" t="s">
        <v>140</v>
      </c>
      <c r="V3" s="949"/>
      <c r="W3" s="949"/>
      <c r="X3" s="954"/>
      <c r="Y3" s="18" t="s">
        <v>105</v>
      </c>
    </row>
    <row r="4" spans="1:25" x14ac:dyDescent="0.25">
      <c r="A4" s="540">
        <v>1</v>
      </c>
      <c r="B4" s="541">
        <v>12751.875</v>
      </c>
      <c r="C4" s="542"/>
      <c r="D4" s="543">
        <f>12996+20.125+1.75*A4</f>
        <v>13017.875</v>
      </c>
      <c r="E4" s="540"/>
      <c r="F4" s="544"/>
      <c r="G4" s="542"/>
      <c r="H4" s="543"/>
      <c r="I4" s="540"/>
      <c r="J4" s="544"/>
      <c r="K4" s="544"/>
      <c r="L4" s="543"/>
      <c r="M4" s="540"/>
      <c r="N4" s="544"/>
      <c r="O4" s="544"/>
      <c r="P4" s="543"/>
      <c r="Q4" s="540"/>
      <c r="R4" s="544"/>
      <c r="S4" s="542"/>
      <c r="T4" s="545"/>
      <c r="U4" s="540"/>
      <c r="V4" s="546"/>
      <c r="W4" s="542"/>
      <c r="X4" s="547"/>
      <c r="Y4" s="548"/>
    </row>
    <row r="5" spans="1:25" x14ac:dyDescent="0.25">
      <c r="A5" s="549">
        <v>2</v>
      </c>
      <c r="B5" s="550">
        <v>12753.625</v>
      </c>
      <c r="C5" s="551" t="s">
        <v>106</v>
      </c>
      <c r="D5" s="552">
        <f t="shared" ref="D5:D68" si="0">D4+1.75</f>
        <v>13019.625</v>
      </c>
      <c r="E5" s="549">
        <v>1</v>
      </c>
      <c r="F5" s="553">
        <v>12752.75</v>
      </c>
      <c r="G5" s="551" t="s">
        <v>106</v>
      </c>
      <c r="H5" s="552">
        <v>13018.75</v>
      </c>
      <c r="I5" s="549"/>
      <c r="J5" s="553"/>
      <c r="K5" s="551"/>
      <c r="L5" s="552"/>
      <c r="M5" s="549"/>
      <c r="N5" s="553"/>
      <c r="O5" s="553"/>
      <c r="P5" s="552"/>
      <c r="Q5" s="549"/>
      <c r="R5" s="553"/>
      <c r="S5" s="551"/>
      <c r="T5" s="554"/>
      <c r="U5" s="549"/>
      <c r="V5" s="555"/>
      <c r="W5" s="551"/>
      <c r="X5" s="556"/>
      <c r="Y5" s="557"/>
    </row>
    <row r="6" spans="1:25" x14ac:dyDescent="0.25">
      <c r="A6" s="549">
        <v>3</v>
      </c>
      <c r="B6" s="550">
        <v>12755.375</v>
      </c>
      <c r="C6" s="551" t="s">
        <v>106</v>
      </c>
      <c r="D6" s="552">
        <f t="shared" si="0"/>
        <v>13021.375</v>
      </c>
      <c r="E6" s="549" t="s">
        <v>127</v>
      </c>
      <c r="F6" s="553"/>
      <c r="G6" s="551"/>
      <c r="H6" s="552"/>
      <c r="I6" s="549">
        <v>1</v>
      </c>
      <c r="J6" s="558">
        <v>12754.5</v>
      </c>
      <c r="K6" s="551" t="s">
        <v>106</v>
      </c>
      <c r="L6" s="559">
        <v>13020.5</v>
      </c>
      <c r="M6" s="549"/>
      <c r="N6" s="553"/>
      <c r="O6" s="553"/>
      <c r="P6" s="552"/>
      <c r="Q6" s="549"/>
      <c r="R6" s="553"/>
      <c r="S6" s="551"/>
      <c r="T6" s="554"/>
      <c r="U6" s="549"/>
      <c r="V6" s="555"/>
      <c r="W6" s="551"/>
      <c r="X6" s="556"/>
      <c r="Y6" s="557"/>
    </row>
    <row r="7" spans="1:25" x14ac:dyDescent="0.25">
      <c r="A7" s="549">
        <v>4</v>
      </c>
      <c r="B7" s="560">
        <v>12757.125</v>
      </c>
      <c r="C7" s="551" t="s">
        <v>106</v>
      </c>
      <c r="D7" s="552">
        <f t="shared" si="0"/>
        <v>13023.125</v>
      </c>
      <c r="E7" s="549">
        <v>2</v>
      </c>
      <c r="F7" s="553">
        <v>12756.25</v>
      </c>
      <c r="G7" s="551" t="s">
        <v>106</v>
      </c>
      <c r="H7" s="552">
        <f>H5+3.5</f>
        <v>13022.25</v>
      </c>
      <c r="I7" s="549"/>
      <c r="J7" s="553"/>
      <c r="K7" s="553"/>
      <c r="L7" s="552"/>
      <c r="M7" s="549"/>
      <c r="N7" s="553"/>
      <c r="O7" s="553"/>
      <c r="P7" s="552"/>
      <c r="Q7" s="549"/>
      <c r="R7" s="553"/>
      <c r="S7" s="551"/>
      <c r="T7" s="554"/>
      <c r="U7" s="549"/>
      <c r="V7" s="555"/>
      <c r="W7" s="551"/>
      <c r="X7" s="556"/>
      <c r="Y7" s="557"/>
    </row>
    <row r="8" spans="1:25" x14ac:dyDescent="0.25">
      <c r="A8" s="549">
        <v>5</v>
      </c>
      <c r="B8" s="550">
        <v>12758.875</v>
      </c>
      <c r="C8" s="551" t="s">
        <v>106</v>
      </c>
      <c r="D8" s="552">
        <f t="shared" si="0"/>
        <v>13024.875</v>
      </c>
      <c r="E8" s="549" t="s">
        <v>127</v>
      </c>
      <c r="F8" s="553"/>
      <c r="G8" s="551"/>
      <c r="H8" s="552"/>
      <c r="I8" s="549"/>
      <c r="J8" s="553"/>
      <c r="K8" s="553"/>
      <c r="L8" s="552"/>
      <c r="M8" s="549">
        <v>1</v>
      </c>
      <c r="N8" s="553">
        <v>12758</v>
      </c>
      <c r="O8" s="551" t="s">
        <v>106</v>
      </c>
      <c r="P8" s="552">
        <v>13024</v>
      </c>
      <c r="Q8" s="549"/>
      <c r="R8" s="553"/>
      <c r="S8" s="551"/>
      <c r="T8" s="554"/>
      <c r="U8" s="549"/>
      <c r="V8" s="555"/>
      <c r="W8" s="551"/>
      <c r="X8" s="556"/>
      <c r="Y8" s="557"/>
    </row>
    <row r="9" spans="1:25" x14ac:dyDescent="0.25">
      <c r="A9" s="549">
        <v>6</v>
      </c>
      <c r="B9" s="550">
        <v>12760.625</v>
      </c>
      <c r="C9" s="551" t="s">
        <v>106</v>
      </c>
      <c r="D9" s="552">
        <f t="shared" si="0"/>
        <v>13026.625</v>
      </c>
      <c r="E9" s="549">
        <v>3</v>
      </c>
      <c r="F9" s="553">
        <v>12759.75</v>
      </c>
      <c r="G9" s="551" t="s">
        <v>106</v>
      </c>
      <c r="H9" s="552">
        <f>H7+3.5</f>
        <v>13025.75</v>
      </c>
      <c r="I9" s="549"/>
      <c r="J9" s="553"/>
      <c r="K9" s="553"/>
      <c r="L9" s="552"/>
      <c r="M9" s="549"/>
      <c r="N9" s="553"/>
      <c r="O9" s="553"/>
      <c r="P9" s="552"/>
      <c r="Q9" s="549"/>
      <c r="R9" s="553"/>
      <c r="S9" s="551"/>
      <c r="T9" s="554"/>
      <c r="U9" s="549"/>
      <c r="V9" s="555"/>
      <c r="W9" s="551"/>
      <c r="X9" s="556"/>
      <c r="Y9" s="557"/>
    </row>
    <row r="10" spans="1:25" x14ac:dyDescent="0.25">
      <c r="A10" s="549">
        <v>7</v>
      </c>
      <c r="B10" s="550">
        <v>12762.375</v>
      </c>
      <c r="C10" s="551" t="s">
        <v>106</v>
      </c>
      <c r="D10" s="552">
        <f t="shared" si="0"/>
        <v>13028.375</v>
      </c>
      <c r="E10" s="549" t="s">
        <v>127</v>
      </c>
      <c r="F10" s="553"/>
      <c r="G10" s="551"/>
      <c r="H10" s="552"/>
      <c r="I10" s="549">
        <v>2</v>
      </c>
      <c r="J10" s="553">
        <v>12761.5</v>
      </c>
      <c r="K10" s="551" t="s">
        <v>106</v>
      </c>
      <c r="L10" s="552">
        <f>L6+7</f>
        <v>13027.5</v>
      </c>
      <c r="M10" s="549"/>
      <c r="N10" s="553"/>
      <c r="O10" s="553"/>
      <c r="P10" s="552"/>
      <c r="Q10" s="549"/>
      <c r="R10" s="553"/>
      <c r="S10" s="551"/>
      <c r="T10" s="554"/>
      <c r="U10" s="549"/>
      <c r="V10" s="555"/>
      <c r="W10" s="551"/>
      <c r="X10" s="556"/>
      <c r="Y10" s="557"/>
    </row>
    <row r="11" spans="1:25" x14ac:dyDescent="0.25">
      <c r="A11" s="549">
        <v>8</v>
      </c>
      <c r="B11" s="550">
        <v>12764.125</v>
      </c>
      <c r="C11" s="551" t="s">
        <v>106</v>
      </c>
      <c r="D11" s="552">
        <f t="shared" si="0"/>
        <v>13030.125</v>
      </c>
      <c r="E11" s="549">
        <v>4</v>
      </c>
      <c r="F11" s="553">
        <v>12763.25</v>
      </c>
      <c r="G11" s="551" t="s">
        <v>106</v>
      </c>
      <c r="H11" s="552">
        <f>H9+3.5</f>
        <v>13029.25</v>
      </c>
      <c r="I11" s="549"/>
      <c r="J11" s="553"/>
      <c r="K11" s="553"/>
      <c r="L11" s="552"/>
      <c r="M11" s="549"/>
      <c r="N11" s="553"/>
      <c r="O11" s="553"/>
      <c r="P11" s="552"/>
      <c r="Q11" s="549"/>
      <c r="R11" s="553"/>
      <c r="S11" s="551"/>
      <c r="T11" s="554"/>
      <c r="U11" s="549"/>
      <c r="V11" s="555"/>
      <c r="W11" s="551"/>
      <c r="X11" s="556"/>
      <c r="Y11" s="557"/>
    </row>
    <row r="12" spans="1:25" x14ac:dyDescent="0.25">
      <c r="A12" s="549">
        <v>9</v>
      </c>
      <c r="B12" s="550">
        <v>12765.875</v>
      </c>
      <c r="C12" s="551" t="s">
        <v>106</v>
      </c>
      <c r="D12" s="552">
        <f t="shared" si="0"/>
        <v>13031.875</v>
      </c>
      <c r="E12" s="549" t="s">
        <v>127</v>
      </c>
      <c r="F12" s="553"/>
      <c r="G12" s="551"/>
      <c r="H12" s="552"/>
      <c r="I12" s="549"/>
      <c r="J12" s="553"/>
      <c r="K12" s="553"/>
      <c r="L12" s="552"/>
      <c r="M12" s="549"/>
      <c r="N12" s="553"/>
      <c r="O12" s="553"/>
      <c r="P12" s="552"/>
      <c r="Q12" s="549">
        <v>1</v>
      </c>
      <c r="R12" s="553">
        <v>12765</v>
      </c>
      <c r="S12" s="551" t="s">
        <v>106</v>
      </c>
      <c r="T12" s="554">
        <v>13031</v>
      </c>
      <c r="U12" s="549"/>
      <c r="V12" s="555"/>
      <c r="W12" s="551"/>
      <c r="X12" s="556"/>
      <c r="Y12" s="557"/>
    </row>
    <row r="13" spans="1:25" x14ac:dyDescent="0.25">
      <c r="A13" s="549">
        <v>10</v>
      </c>
      <c r="B13" s="550">
        <v>12767.625</v>
      </c>
      <c r="C13" s="551" t="s">
        <v>106</v>
      </c>
      <c r="D13" s="552">
        <f t="shared" si="0"/>
        <v>13033.625</v>
      </c>
      <c r="E13" s="549">
        <v>5</v>
      </c>
      <c r="F13" s="553">
        <v>12766.75</v>
      </c>
      <c r="G13" s="551" t="s">
        <v>106</v>
      </c>
      <c r="H13" s="552">
        <f>H11+3.5</f>
        <v>13032.75</v>
      </c>
      <c r="I13" s="549"/>
      <c r="J13" s="553"/>
      <c r="K13" s="553"/>
      <c r="L13" s="552"/>
      <c r="M13" s="549"/>
      <c r="N13" s="553"/>
      <c r="O13" s="553"/>
      <c r="P13" s="552"/>
      <c r="Q13" s="549"/>
      <c r="R13" s="553"/>
      <c r="S13" s="551"/>
      <c r="T13" s="554"/>
      <c r="U13" s="549"/>
      <c r="V13" s="555"/>
      <c r="W13" s="551"/>
      <c r="X13" s="556"/>
      <c r="Y13" s="557"/>
    </row>
    <row r="14" spans="1:25" x14ac:dyDescent="0.25">
      <c r="A14" s="549">
        <v>11</v>
      </c>
      <c r="B14" s="550">
        <v>12769.375</v>
      </c>
      <c r="C14" s="551" t="s">
        <v>106</v>
      </c>
      <c r="D14" s="552">
        <f t="shared" si="0"/>
        <v>13035.375</v>
      </c>
      <c r="E14" s="549" t="s">
        <v>127</v>
      </c>
      <c r="F14" s="553"/>
      <c r="G14" s="551"/>
      <c r="H14" s="552"/>
      <c r="I14" s="549">
        <v>3</v>
      </c>
      <c r="J14" s="553">
        <v>12768.5</v>
      </c>
      <c r="K14" s="551" t="s">
        <v>106</v>
      </c>
      <c r="L14" s="552">
        <f>L10+7</f>
        <v>13034.5</v>
      </c>
      <c r="M14" s="549"/>
      <c r="N14" s="553"/>
      <c r="O14" s="553"/>
      <c r="P14" s="552"/>
      <c r="Q14" s="549"/>
      <c r="R14" s="553"/>
      <c r="S14" s="551"/>
      <c r="T14" s="554"/>
      <c r="U14" s="549"/>
      <c r="V14" s="555"/>
      <c r="W14" s="551"/>
      <c r="X14" s="556"/>
      <c r="Y14" s="557" t="s">
        <v>156</v>
      </c>
    </row>
    <row r="15" spans="1:25" x14ac:dyDescent="0.25">
      <c r="A15" s="549">
        <v>12</v>
      </c>
      <c r="B15" s="550">
        <v>12771.125</v>
      </c>
      <c r="C15" s="551" t="s">
        <v>106</v>
      </c>
      <c r="D15" s="552">
        <f t="shared" si="0"/>
        <v>13037.125</v>
      </c>
      <c r="E15" s="549">
        <v>6</v>
      </c>
      <c r="F15" s="553">
        <v>12770.25</v>
      </c>
      <c r="G15" s="551" t="s">
        <v>106</v>
      </c>
      <c r="H15" s="552">
        <f>H13+3.5</f>
        <v>13036.25</v>
      </c>
      <c r="I15" s="549"/>
      <c r="J15" s="553"/>
      <c r="K15" s="553"/>
      <c r="L15" s="552"/>
      <c r="M15" s="549"/>
      <c r="N15" s="553"/>
      <c r="O15" s="553"/>
      <c r="P15" s="552"/>
      <c r="Q15" s="549"/>
      <c r="R15" s="553"/>
      <c r="S15" s="551"/>
      <c r="T15" s="554"/>
      <c r="U15" s="549"/>
      <c r="V15" s="555"/>
      <c r="W15" s="551"/>
      <c r="X15" s="556"/>
      <c r="Y15" s="561"/>
    </row>
    <row r="16" spans="1:25" x14ac:dyDescent="0.25">
      <c r="A16" s="549">
        <v>13</v>
      </c>
      <c r="B16" s="550">
        <v>12772.875</v>
      </c>
      <c r="C16" s="551" t="s">
        <v>106</v>
      </c>
      <c r="D16" s="552">
        <f>D15+1.75</f>
        <v>13038.875</v>
      </c>
      <c r="E16" s="549" t="s">
        <v>127</v>
      </c>
      <c r="F16" s="553"/>
      <c r="G16" s="551"/>
      <c r="H16" s="552"/>
      <c r="I16" s="549"/>
      <c r="J16" s="553"/>
      <c r="K16" s="553"/>
      <c r="L16" s="552"/>
      <c r="M16" s="549">
        <v>2</v>
      </c>
      <c r="N16" s="553">
        <v>12772</v>
      </c>
      <c r="O16" s="551" t="s">
        <v>106</v>
      </c>
      <c r="P16" s="552">
        <v>13038</v>
      </c>
      <c r="Q16" s="549"/>
      <c r="R16" s="553"/>
      <c r="S16" s="551"/>
      <c r="T16" s="554"/>
      <c r="U16" s="549"/>
      <c r="V16" s="555"/>
      <c r="W16" s="551"/>
      <c r="X16" s="556"/>
      <c r="Y16" s="557" t="s">
        <v>169</v>
      </c>
    </row>
    <row r="17" spans="1:25" x14ac:dyDescent="0.25">
      <c r="A17" s="549">
        <v>14</v>
      </c>
      <c r="B17" s="550">
        <v>12774.625</v>
      </c>
      <c r="C17" s="551" t="s">
        <v>106</v>
      </c>
      <c r="D17" s="552">
        <f t="shared" si="0"/>
        <v>13040.625</v>
      </c>
      <c r="E17" s="549">
        <v>7</v>
      </c>
      <c r="F17" s="553">
        <v>12773.75</v>
      </c>
      <c r="G17" s="551" t="s">
        <v>106</v>
      </c>
      <c r="H17" s="552">
        <f>H15+3.5</f>
        <v>13039.75</v>
      </c>
      <c r="I17" s="549"/>
      <c r="J17" s="553"/>
      <c r="K17" s="553"/>
      <c r="L17" s="552"/>
      <c r="M17" s="549"/>
      <c r="N17" s="553"/>
      <c r="O17" s="553"/>
      <c r="P17" s="552"/>
      <c r="Q17" s="549"/>
      <c r="R17" s="553"/>
      <c r="S17" s="551"/>
      <c r="T17" s="554"/>
      <c r="U17" s="549"/>
      <c r="V17" s="555"/>
      <c r="W17" s="551"/>
      <c r="X17" s="556"/>
      <c r="Y17" s="557"/>
    </row>
    <row r="18" spans="1:25" x14ac:dyDescent="0.25">
      <c r="A18" s="549">
        <v>15</v>
      </c>
      <c r="B18" s="550">
        <v>12776.375</v>
      </c>
      <c r="C18" s="551" t="s">
        <v>106</v>
      </c>
      <c r="D18" s="552">
        <f t="shared" si="0"/>
        <v>13042.375</v>
      </c>
      <c r="E18" s="549" t="s">
        <v>127</v>
      </c>
      <c r="F18" s="553"/>
      <c r="G18" s="551"/>
      <c r="H18" s="552"/>
      <c r="I18" s="549">
        <v>4</v>
      </c>
      <c r="J18" s="553">
        <v>12775.5</v>
      </c>
      <c r="K18" s="551" t="s">
        <v>106</v>
      </c>
      <c r="L18" s="552">
        <f>L14+7</f>
        <v>13041.5</v>
      </c>
      <c r="M18" s="549"/>
      <c r="N18" s="553"/>
      <c r="O18" s="553"/>
      <c r="P18" s="552"/>
      <c r="Q18" s="549"/>
      <c r="R18" s="553"/>
      <c r="S18" s="551"/>
      <c r="T18" s="554"/>
      <c r="U18" s="549"/>
      <c r="V18" s="555"/>
      <c r="W18" s="551"/>
      <c r="X18" s="556"/>
      <c r="Y18" s="557"/>
    </row>
    <row r="19" spans="1:25" ht="15.75" thickBot="1" x14ac:dyDescent="0.3">
      <c r="A19" s="562">
        <v>16</v>
      </c>
      <c r="B19" s="563">
        <v>12778.125</v>
      </c>
      <c r="C19" s="564" t="s">
        <v>106</v>
      </c>
      <c r="D19" s="565">
        <f t="shared" si="0"/>
        <v>13044.125</v>
      </c>
      <c r="E19" s="562">
        <v>8</v>
      </c>
      <c r="F19" s="566">
        <v>12777.25</v>
      </c>
      <c r="G19" s="564" t="s">
        <v>106</v>
      </c>
      <c r="H19" s="565">
        <f>H17+3.5</f>
        <v>13043.25</v>
      </c>
      <c r="I19" s="562"/>
      <c r="J19" s="566"/>
      <c r="K19" s="566"/>
      <c r="L19" s="565"/>
      <c r="M19" s="562"/>
      <c r="N19" s="566"/>
      <c r="O19" s="566"/>
      <c r="P19" s="565"/>
      <c r="Q19" s="562"/>
      <c r="R19" s="566"/>
      <c r="S19" s="564"/>
      <c r="T19" s="567"/>
      <c r="U19" s="562">
        <v>1</v>
      </c>
      <c r="V19" s="568">
        <v>12779</v>
      </c>
      <c r="W19" s="564" t="s">
        <v>106</v>
      </c>
      <c r="X19" s="569">
        <v>13045</v>
      </c>
      <c r="Y19" s="570"/>
    </row>
    <row r="20" spans="1:25" x14ac:dyDescent="0.25">
      <c r="A20" s="540">
        <v>17</v>
      </c>
      <c r="B20" s="541">
        <f t="shared" ref="B20:B83" si="1">B19+1.75</f>
        <v>12779.875</v>
      </c>
      <c r="C20" s="542" t="s">
        <v>106</v>
      </c>
      <c r="D20" s="543">
        <f t="shared" si="0"/>
        <v>13045.875</v>
      </c>
      <c r="E20" s="540"/>
      <c r="F20" s="544"/>
      <c r="G20" s="542"/>
      <c r="H20" s="543"/>
      <c r="I20" s="540"/>
      <c r="J20" s="544"/>
      <c r="K20" s="544"/>
      <c r="L20" s="543"/>
      <c r="M20" s="540"/>
      <c r="N20" s="544"/>
      <c r="O20" s="544"/>
      <c r="P20" s="543"/>
      <c r="Q20" s="540"/>
      <c r="R20" s="544"/>
      <c r="S20" s="542"/>
      <c r="T20" s="545"/>
      <c r="U20" s="540"/>
      <c r="V20" s="546"/>
      <c r="W20" s="542"/>
      <c r="X20" s="547"/>
      <c r="Y20" s="548"/>
    </row>
    <row r="21" spans="1:25" x14ac:dyDescent="0.25">
      <c r="A21" s="549">
        <v>18</v>
      </c>
      <c r="B21" s="563">
        <f t="shared" si="1"/>
        <v>12781.625</v>
      </c>
      <c r="C21" s="551" t="s">
        <v>106</v>
      </c>
      <c r="D21" s="552">
        <f t="shared" si="0"/>
        <v>13047.625</v>
      </c>
      <c r="E21" s="549">
        <v>9</v>
      </c>
      <c r="F21" s="553">
        <f>F19+3.5</f>
        <v>12780.75</v>
      </c>
      <c r="G21" s="551" t="s">
        <v>106</v>
      </c>
      <c r="H21" s="552">
        <f>H19+3.5</f>
        <v>13046.75</v>
      </c>
      <c r="I21" s="549"/>
      <c r="J21" s="553"/>
      <c r="K21" s="553"/>
      <c r="L21" s="552"/>
      <c r="M21" s="549"/>
      <c r="N21" s="553"/>
      <c r="O21" s="553"/>
      <c r="P21" s="552"/>
      <c r="Q21" s="549"/>
      <c r="R21" s="553"/>
      <c r="S21" s="551"/>
      <c r="T21" s="554"/>
      <c r="U21" s="549"/>
      <c r="V21" s="555"/>
      <c r="W21" s="551"/>
      <c r="X21" s="556"/>
      <c r="Y21" s="557"/>
    </row>
    <row r="22" spans="1:25" x14ac:dyDescent="0.25">
      <c r="A22" s="549">
        <v>19</v>
      </c>
      <c r="B22" s="550">
        <f t="shared" si="1"/>
        <v>12783.375</v>
      </c>
      <c r="C22" s="551" t="s">
        <v>106</v>
      </c>
      <c r="D22" s="552">
        <f t="shared" si="0"/>
        <v>13049.375</v>
      </c>
      <c r="E22" s="549"/>
      <c r="F22" s="553"/>
      <c r="G22" s="551"/>
      <c r="H22" s="552"/>
      <c r="I22" s="549">
        <v>5</v>
      </c>
      <c r="J22" s="553">
        <f>J18+7</f>
        <v>12782.5</v>
      </c>
      <c r="K22" s="551" t="s">
        <v>106</v>
      </c>
      <c r="L22" s="552">
        <f>L18+7</f>
        <v>13048.5</v>
      </c>
      <c r="M22" s="549"/>
      <c r="N22" s="553"/>
      <c r="O22" s="553"/>
      <c r="P22" s="552"/>
      <c r="Q22" s="549"/>
      <c r="R22" s="553"/>
      <c r="S22" s="551"/>
      <c r="T22" s="554"/>
      <c r="U22" s="549"/>
      <c r="V22" s="555"/>
      <c r="W22" s="551"/>
      <c r="X22" s="556"/>
      <c r="Y22" s="557"/>
    </row>
    <row r="23" spans="1:25" x14ac:dyDescent="0.25">
      <c r="A23" s="549">
        <v>20</v>
      </c>
      <c r="B23" s="571">
        <f t="shared" si="1"/>
        <v>12785.125</v>
      </c>
      <c r="C23" s="551" t="s">
        <v>106</v>
      </c>
      <c r="D23" s="552">
        <f t="shared" si="0"/>
        <v>13051.125</v>
      </c>
      <c r="E23" s="549">
        <v>10</v>
      </c>
      <c r="F23" s="553">
        <f>F21+3.5</f>
        <v>12784.25</v>
      </c>
      <c r="G23" s="551" t="s">
        <v>106</v>
      </c>
      <c r="H23" s="552">
        <f>H21+3.5</f>
        <v>13050.25</v>
      </c>
      <c r="I23" s="549"/>
      <c r="J23" s="553"/>
      <c r="K23" s="553"/>
      <c r="L23" s="552"/>
      <c r="M23" s="549"/>
      <c r="N23" s="553"/>
      <c r="O23" s="553"/>
      <c r="P23" s="552"/>
      <c r="Q23" s="549"/>
      <c r="R23" s="553"/>
      <c r="S23" s="551"/>
      <c r="T23" s="554"/>
      <c r="U23" s="549"/>
      <c r="V23" s="555"/>
      <c r="W23" s="551"/>
      <c r="X23" s="556"/>
      <c r="Y23" s="557"/>
    </row>
    <row r="24" spans="1:25" x14ac:dyDescent="0.25">
      <c r="A24" s="549">
        <v>21</v>
      </c>
      <c r="B24" s="563">
        <f t="shared" si="1"/>
        <v>12786.875</v>
      </c>
      <c r="C24" s="551" t="s">
        <v>106</v>
      </c>
      <c r="D24" s="552">
        <f t="shared" si="0"/>
        <v>13052.875</v>
      </c>
      <c r="E24" s="549"/>
      <c r="F24" s="553"/>
      <c r="G24" s="551"/>
      <c r="H24" s="552"/>
      <c r="I24" s="549"/>
      <c r="J24" s="553"/>
      <c r="K24" s="553"/>
      <c r="L24" s="552"/>
      <c r="M24" s="549">
        <v>3</v>
      </c>
      <c r="N24" s="553">
        <f>N16+14</f>
        <v>12786</v>
      </c>
      <c r="O24" s="551" t="s">
        <v>106</v>
      </c>
      <c r="P24" s="552">
        <f>P16+14</f>
        <v>13052</v>
      </c>
      <c r="Q24" s="549"/>
      <c r="R24" s="553"/>
      <c r="S24" s="551"/>
      <c r="T24" s="554"/>
      <c r="U24" s="549"/>
      <c r="V24" s="555"/>
      <c r="W24" s="551"/>
      <c r="X24" s="556"/>
      <c r="Y24" s="557"/>
    </row>
    <row r="25" spans="1:25" x14ac:dyDescent="0.25">
      <c r="A25" s="549">
        <v>22</v>
      </c>
      <c r="B25" s="550">
        <f t="shared" si="1"/>
        <v>12788.625</v>
      </c>
      <c r="C25" s="551" t="s">
        <v>106</v>
      </c>
      <c r="D25" s="552">
        <f t="shared" si="0"/>
        <v>13054.625</v>
      </c>
      <c r="E25" s="549">
        <v>11</v>
      </c>
      <c r="F25" s="553">
        <f>F23+3.5</f>
        <v>12787.75</v>
      </c>
      <c r="G25" s="551" t="s">
        <v>106</v>
      </c>
      <c r="H25" s="552">
        <f>H23+3.5</f>
        <v>13053.75</v>
      </c>
      <c r="I25" s="549"/>
      <c r="J25" s="553"/>
      <c r="K25" s="553"/>
      <c r="L25" s="552"/>
      <c r="M25" s="549"/>
      <c r="N25" s="553"/>
      <c r="O25" s="553"/>
      <c r="P25" s="552"/>
      <c r="Q25" s="549"/>
      <c r="R25" s="553"/>
      <c r="S25" s="551"/>
      <c r="T25" s="554"/>
      <c r="U25" s="549"/>
      <c r="V25" s="555"/>
      <c r="W25" s="551"/>
      <c r="X25" s="556"/>
      <c r="Y25" s="557"/>
    </row>
    <row r="26" spans="1:25" x14ac:dyDescent="0.25">
      <c r="A26" s="549">
        <v>23</v>
      </c>
      <c r="B26" s="550">
        <f t="shared" si="1"/>
        <v>12790.375</v>
      </c>
      <c r="C26" s="551" t="s">
        <v>106</v>
      </c>
      <c r="D26" s="552">
        <f t="shared" si="0"/>
        <v>13056.375</v>
      </c>
      <c r="E26" s="549"/>
      <c r="F26" s="553"/>
      <c r="G26" s="551"/>
      <c r="H26" s="552"/>
      <c r="I26" s="549">
        <v>6</v>
      </c>
      <c r="J26" s="553">
        <f>J22+7</f>
        <v>12789.5</v>
      </c>
      <c r="K26" s="551" t="s">
        <v>106</v>
      </c>
      <c r="L26" s="552">
        <f>L22+7</f>
        <v>13055.5</v>
      </c>
      <c r="M26" s="549"/>
      <c r="N26" s="553"/>
      <c r="O26" s="553"/>
      <c r="P26" s="552"/>
      <c r="Q26" s="549"/>
      <c r="R26" s="553"/>
      <c r="S26" s="551"/>
      <c r="T26" s="554"/>
      <c r="U26" s="549"/>
      <c r="V26" s="555"/>
      <c r="W26" s="551"/>
      <c r="X26" s="556"/>
      <c r="Y26" s="557"/>
    </row>
    <row r="27" spans="1:25" x14ac:dyDescent="0.25">
      <c r="A27" s="549">
        <v>24</v>
      </c>
      <c r="B27" s="571">
        <f t="shared" si="1"/>
        <v>12792.125</v>
      </c>
      <c r="C27" s="551" t="s">
        <v>106</v>
      </c>
      <c r="D27" s="552">
        <f t="shared" si="0"/>
        <v>13058.125</v>
      </c>
      <c r="E27" s="549">
        <v>12</v>
      </c>
      <c r="F27" s="553">
        <f>F25+3.5</f>
        <v>12791.25</v>
      </c>
      <c r="G27" s="551" t="s">
        <v>106</v>
      </c>
      <c r="H27" s="552">
        <f>H25+3.5</f>
        <v>13057.25</v>
      </c>
      <c r="I27" s="549"/>
      <c r="J27" s="553"/>
      <c r="K27" s="553"/>
      <c r="L27" s="552"/>
      <c r="M27" s="549"/>
      <c r="N27" s="553"/>
      <c r="O27" s="553"/>
      <c r="P27" s="552"/>
      <c r="Q27" s="549"/>
      <c r="R27" s="553"/>
      <c r="S27" s="551"/>
      <c r="T27" s="554"/>
      <c r="U27" s="549"/>
      <c r="V27" s="555"/>
      <c r="W27" s="551"/>
      <c r="X27" s="556"/>
      <c r="Y27" s="557"/>
    </row>
    <row r="28" spans="1:25" x14ac:dyDescent="0.25">
      <c r="A28" s="549">
        <v>25</v>
      </c>
      <c r="B28" s="550">
        <f t="shared" si="1"/>
        <v>12793.875</v>
      </c>
      <c r="C28" s="551" t="s">
        <v>106</v>
      </c>
      <c r="D28" s="552">
        <f t="shared" si="0"/>
        <v>13059.875</v>
      </c>
      <c r="E28" s="549"/>
      <c r="F28" s="553"/>
      <c r="G28" s="551"/>
      <c r="H28" s="552"/>
      <c r="I28" s="549"/>
      <c r="J28" s="553"/>
      <c r="K28" s="553"/>
      <c r="L28" s="552"/>
      <c r="M28" s="549"/>
      <c r="N28" s="553"/>
      <c r="O28" s="553"/>
      <c r="P28" s="552"/>
      <c r="Q28" s="549">
        <v>2</v>
      </c>
      <c r="R28" s="553">
        <f>R12+28</f>
        <v>12793</v>
      </c>
      <c r="S28" s="551" t="s">
        <v>106</v>
      </c>
      <c r="T28" s="554">
        <f>T12+28</f>
        <v>13059</v>
      </c>
      <c r="U28" s="549"/>
      <c r="V28" s="555"/>
      <c r="W28" s="551"/>
      <c r="X28" s="556"/>
      <c r="Y28" s="557"/>
    </row>
    <row r="29" spans="1:25" x14ac:dyDescent="0.25">
      <c r="A29" s="549">
        <v>26</v>
      </c>
      <c r="B29" s="572">
        <f t="shared" si="1"/>
        <v>12795.625</v>
      </c>
      <c r="C29" s="551" t="s">
        <v>106</v>
      </c>
      <c r="D29" s="552">
        <f t="shared" si="0"/>
        <v>13061.625</v>
      </c>
      <c r="E29" s="549">
        <v>13</v>
      </c>
      <c r="F29" s="553">
        <f>F27+3.5</f>
        <v>12794.75</v>
      </c>
      <c r="G29" s="551" t="s">
        <v>106</v>
      </c>
      <c r="H29" s="552">
        <f>H27+3.5</f>
        <v>13060.75</v>
      </c>
      <c r="I29" s="549"/>
      <c r="J29" s="553"/>
      <c r="K29" s="553"/>
      <c r="L29" s="552"/>
      <c r="M29" s="549"/>
      <c r="N29" s="553"/>
      <c r="O29" s="553"/>
      <c r="P29" s="552"/>
      <c r="Q29" s="549"/>
      <c r="R29" s="553"/>
      <c r="S29" s="551"/>
      <c r="T29" s="554"/>
      <c r="U29" s="549"/>
      <c r="V29" s="555"/>
      <c r="W29" s="551"/>
      <c r="X29" s="556"/>
      <c r="Y29" s="557" t="s">
        <v>156</v>
      </c>
    </row>
    <row r="30" spans="1:25" x14ac:dyDescent="0.25">
      <c r="A30" s="549">
        <v>27</v>
      </c>
      <c r="B30" s="572">
        <f t="shared" si="1"/>
        <v>12797.375</v>
      </c>
      <c r="C30" s="551" t="s">
        <v>106</v>
      </c>
      <c r="D30" s="552">
        <f t="shared" si="0"/>
        <v>13063.375</v>
      </c>
      <c r="E30" s="549"/>
      <c r="F30" s="553"/>
      <c r="G30" s="551"/>
      <c r="H30" s="552"/>
      <c r="I30" s="549">
        <v>7</v>
      </c>
      <c r="J30" s="553">
        <f>J26+7</f>
        <v>12796.5</v>
      </c>
      <c r="K30" s="551" t="s">
        <v>106</v>
      </c>
      <c r="L30" s="552">
        <f>L26+7</f>
        <v>13062.5</v>
      </c>
      <c r="M30" s="549"/>
      <c r="N30" s="553"/>
      <c r="O30" s="553"/>
      <c r="P30" s="552"/>
      <c r="Q30" s="549"/>
      <c r="R30" s="553"/>
      <c r="S30" s="551"/>
      <c r="T30" s="554"/>
      <c r="U30" s="549"/>
      <c r="V30" s="555"/>
      <c r="W30" s="551"/>
      <c r="X30" s="556"/>
      <c r="Y30" s="557"/>
    </row>
    <row r="31" spans="1:25" x14ac:dyDescent="0.25">
      <c r="A31" s="549">
        <v>28</v>
      </c>
      <c r="B31" s="572">
        <f t="shared" si="1"/>
        <v>12799.125</v>
      </c>
      <c r="C31" s="551" t="s">
        <v>106</v>
      </c>
      <c r="D31" s="552">
        <f t="shared" si="0"/>
        <v>13065.125</v>
      </c>
      <c r="E31" s="549">
        <v>14</v>
      </c>
      <c r="F31" s="553">
        <f>F29+3.5</f>
        <v>12798.25</v>
      </c>
      <c r="G31" s="551" t="s">
        <v>106</v>
      </c>
      <c r="H31" s="552">
        <f>H29+3.5</f>
        <v>13064.25</v>
      </c>
      <c r="I31" s="549"/>
      <c r="J31" s="553"/>
      <c r="K31" s="553"/>
      <c r="L31" s="552"/>
      <c r="M31" s="549"/>
      <c r="N31" s="553"/>
      <c r="O31" s="553"/>
      <c r="P31" s="552"/>
      <c r="Q31" s="549"/>
      <c r="R31" s="553"/>
      <c r="S31" s="551"/>
      <c r="T31" s="554"/>
      <c r="U31" s="549"/>
      <c r="V31" s="555"/>
      <c r="W31" s="551"/>
      <c r="X31" s="556"/>
      <c r="Y31" s="557" t="s">
        <v>170</v>
      </c>
    </row>
    <row r="32" spans="1:25" x14ac:dyDescent="0.25">
      <c r="A32" s="57">
        <v>29</v>
      </c>
      <c r="B32" s="54">
        <f t="shared" si="1"/>
        <v>12800.875</v>
      </c>
      <c r="C32" s="55" t="s">
        <v>106</v>
      </c>
      <c r="D32" s="56">
        <f t="shared" si="0"/>
        <v>13066.875</v>
      </c>
      <c r="E32" s="57"/>
      <c r="F32" s="58"/>
      <c r="G32" s="55"/>
      <c r="H32" s="56"/>
      <c r="I32" s="57"/>
      <c r="J32" s="58"/>
      <c r="K32" s="58"/>
      <c r="L32" s="56"/>
      <c r="M32" s="549">
        <v>4</v>
      </c>
      <c r="N32" s="553">
        <f>N24+14</f>
        <v>12800</v>
      </c>
      <c r="O32" s="551" t="s">
        <v>106</v>
      </c>
      <c r="P32" s="552">
        <f>P24+14</f>
        <v>13066</v>
      </c>
      <c r="Q32" s="59"/>
      <c r="R32" s="60"/>
      <c r="S32" s="61"/>
      <c r="T32" s="62"/>
      <c r="U32" s="549"/>
      <c r="V32" s="555"/>
      <c r="W32" s="551"/>
      <c r="X32" s="556"/>
      <c r="Y32" s="63"/>
    </row>
    <row r="33" spans="1:25" x14ac:dyDescent="0.25">
      <c r="A33" s="57">
        <v>30</v>
      </c>
      <c r="B33" s="54">
        <f t="shared" si="1"/>
        <v>12802.625</v>
      </c>
      <c r="C33" s="55" t="s">
        <v>106</v>
      </c>
      <c r="D33" s="56">
        <f t="shared" si="0"/>
        <v>13068.625</v>
      </c>
      <c r="E33" s="57">
        <v>15</v>
      </c>
      <c r="F33" s="58">
        <f>F31+3.5</f>
        <v>12801.75</v>
      </c>
      <c r="G33" s="55" t="s">
        <v>106</v>
      </c>
      <c r="H33" s="56">
        <f>H31+3.5</f>
        <v>13067.75</v>
      </c>
      <c r="I33" s="57"/>
      <c r="J33" s="58"/>
      <c r="K33" s="58"/>
      <c r="L33" s="56"/>
      <c r="M33" s="549"/>
      <c r="N33" s="553"/>
      <c r="O33" s="553"/>
      <c r="P33" s="552"/>
      <c r="Q33" s="59"/>
      <c r="R33" s="60"/>
      <c r="S33" s="61"/>
      <c r="T33" s="62"/>
      <c r="U33" s="549"/>
      <c r="V33" s="555"/>
      <c r="W33" s="551"/>
      <c r="X33" s="556"/>
      <c r="Y33" s="63"/>
    </row>
    <row r="34" spans="1:25" x14ac:dyDescent="0.25">
      <c r="A34" s="57">
        <v>31</v>
      </c>
      <c r="B34" s="54">
        <f t="shared" si="1"/>
        <v>12804.375</v>
      </c>
      <c r="C34" s="55" t="s">
        <v>106</v>
      </c>
      <c r="D34" s="56">
        <f t="shared" si="0"/>
        <v>13070.375</v>
      </c>
      <c r="E34" s="57"/>
      <c r="F34" s="58"/>
      <c r="G34" s="55"/>
      <c r="H34" s="56"/>
      <c r="I34" s="64">
        <v>8</v>
      </c>
      <c r="J34" s="58">
        <f>J30+7</f>
        <v>12803.5</v>
      </c>
      <c r="K34" s="55" t="s">
        <v>106</v>
      </c>
      <c r="L34" s="56">
        <f>L30+7</f>
        <v>13069.5</v>
      </c>
      <c r="M34" s="549"/>
      <c r="N34" s="553"/>
      <c r="O34" s="553"/>
      <c r="P34" s="552"/>
      <c r="Q34" s="59"/>
      <c r="R34" s="60"/>
      <c r="S34" s="61"/>
      <c r="T34" s="62"/>
      <c r="U34" s="549"/>
      <c r="V34" s="555"/>
      <c r="W34" s="551"/>
      <c r="X34" s="556"/>
      <c r="Y34" s="63"/>
    </row>
    <row r="35" spans="1:25" ht="15.75" thickBot="1" x14ac:dyDescent="0.3">
      <c r="A35" s="67">
        <v>32</v>
      </c>
      <c r="B35" s="44">
        <f t="shared" si="1"/>
        <v>12806.125</v>
      </c>
      <c r="C35" s="65" t="s">
        <v>106</v>
      </c>
      <c r="D35" s="66">
        <f t="shared" si="0"/>
        <v>13072.125</v>
      </c>
      <c r="E35" s="67">
        <v>16</v>
      </c>
      <c r="F35" s="68">
        <f>F33+3.5</f>
        <v>12805.25</v>
      </c>
      <c r="G35" s="65" t="s">
        <v>106</v>
      </c>
      <c r="H35" s="66">
        <f>H33+3.5</f>
        <v>13071.25</v>
      </c>
      <c r="I35" s="67"/>
      <c r="J35" s="68"/>
      <c r="K35" s="68"/>
      <c r="L35" s="66"/>
      <c r="M35" s="562"/>
      <c r="N35" s="566"/>
      <c r="O35" s="566"/>
      <c r="P35" s="565"/>
      <c r="Q35" s="69"/>
      <c r="R35" s="70"/>
      <c r="S35" s="71"/>
      <c r="T35" s="72"/>
      <c r="U35" s="562">
        <v>2</v>
      </c>
      <c r="V35" s="568">
        <v>12807</v>
      </c>
      <c r="W35" s="564" t="s">
        <v>106</v>
      </c>
      <c r="X35" s="569">
        <v>13073</v>
      </c>
      <c r="Y35" s="73"/>
    </row>
    <row r="36" spans="1:25" x14ac:dyDescent="0.25">
      <c r="A36" s="77">
        <v>33</v>
      </c>
      <c r="B36" s="74">
        <f t="shared" si="1"/>
        <v>12807.875</v>
      </c>
      <c r="C36" s="75" t="s">
        <v>106</v>
      </c>
      <c r="D36" s="76">
        <f t="shared" si="0"/>
        <v>13073.875</v>
      </c>
      <c r="E36" s="77"/>
      <c r="F36" s="78"/>
      <c r="G36" s="75"/>
      <c r="H36" s="76"/>
      <c r="I36" s="77"/>
      <c r="J36" s="78"/>
      <c r="K36" s="78"/>
      <c r="L36" s="76"/>
      <c r="M36" s="77"/>
      <c r="N36" s="78"/>
      <c r="O36" s="78"/>
      <c r="P36" s="76"/>
      <c r="Q36" s="77"/>
      <c r="R36" s="78"/>
      <c r="S36" s="75"/>
      <c r="T36" s="79"/>
      <c r="U36" s="540"/>
      <c r="V36" s="546"/>
      <c r="W36" s="542"/>
      <c r="X36" s="547"/>
      <c r="Y36" s="80"/>
    </row>
    <row r="37" spans="1:25" x14ac:dyDescent="0.25">
      <c r="A37" s="57">
        <v>34</v>
      </c>
      <c r="B37" s="54">
        <f t="shared" si="1"/>
        <v>12809.625</v>
      </c>
      <c r="C37" s="55" t="s">
        <v>106</v>
      </c>
      <c r="D37" s="56">
        <f t="shared" si="0"/>
        <v>13075.625</v>
      </c>
      <c r="E37" s="57">
        <v>17</v>
      </c>
      <c r="F37" s="58">
        <f>F35+3.5</f>
        <v>12808.75</v>
      </c>
      <c r="G37" s="55" t="s">
        <v>106</v>
      </c>
      <c r="H37" s="56">
        <f>H35+3.5</f>
        <v>13074.75</v>
      </c>
      <c r="I37" s="57"/>
      <c r="J37" s="58"/>
      <c r="K37" s="58"/>
      <c r="L37" s="56"/>
      <c r="M37" s="57"/>
      <c r="N37" s="58"/>
      <c r="O37" s="58"/>
      <c r="P37" s="56"/>
      <c r="Q37" s="57"/>
      <c r="R37" s="58"/>
      <c r="S37" s="55"/>
      <c r="T37" s="81"/>
      <c r="U37" s="549"/>
      <c r="V37" s="555"/>
      <c r="W37" s="551"/>
      <c r="X37" s="556"/>
      <c r="Y37" s="63"/>
    </row>
    <row r="38" spans="1:25" x14ac:dyDescent="0.25">
      <c r="A38" s="57">
        <v>35</v>
      </c>
      <c r="B38" s="54">
        <f t="shared" si="1"/>
        <v>12811.375</v>
      </c>
      <c r="C38" s="55" t="s">
        <v>106</v>
      </c>
      <c r="D38" s="56">
        <f t="shared" si="0"/>
        <v>13077.375</v>
      </c>
      <c r="E38" s="57"/>
      <c r="F38" s="58"/>
      <c r="G38" s="55"/>
      <c r="H38" s="56"/>
      <c r="I38" s="57">
        <v>9</v>
      </c>
      <c r="J38" s="58">
        <f>J34+7</f>
        <v>12810.5</v>
      </c>
      <c r="K38" s="55" t="s">
        <v>106</v>
      </c>
      <c r="L38" s="56">
        <f>L34+7</f>
        <v>13076.5</v>
      </c>
      <c r="M38" s="57"/>
      <c r="N38" s="58"/>
      <c r="O38" s="58"/>
      <c r="P38" s="56"/>
      <c r="Q38" s="57"/>
      <c r="R38" s="58"/>
      <c r="S38" s="55"/>
      <c r="T38" s="81"/>
      <c r="U38" s="549"/>
      <c r="V38" s="555"/>
      <c r="W38" s="551"/>
      <c r="X38" s="556"/>
      <c r="Y38" s="82"/>
    </row>
    <row r="39" spans="1:25" x14ac:dyDescent="0.25">
      <c r="A39" s="57">
        <v>36</v>
      </c>
      <c r="B39" s="54">
        <f t="shared" si="1"/>
        <v>12813.125</v>
      </c>
      <c r="C39" s="55" t="s">
        <v>106</v>
      </c>
      <c r="D39" s="56">
        <f t="shared" si="0"/>
        <v>13079.125</v>
      </c>
      <c r="E39" s="57">
        <v>18</v>
      </c>
      <c r="F39" s="58">
        <f>F37+3.5</f>
        <v>12812.25</v>
      </c>
      <c r="G39" s="55" t="s">
        <v>106</v>
      </c>
      <c r="H39" s="56">
        <f>H37+3.5</f>
        <v>13078.25</v>
      </c>
      <c r="I39" s="57"/>
      <c r="J39" s="58"/>
      <c r="K39" s="58"/>
      <c r="L39" s="56"/>
      <c r="M39" s="57"/>
      <c r="N39" s="58"/>
      <c r="O39" s="58"/>
      <c r="P39" s="56"/>
      <c r="Q39" s="57"/>
      <c r="R39" s="58"/>
      <c r="S39" s="55"/>
      <c r="T39" s="81"/>
      <c r="U39" s="549"/>
      <c r="V39" s="555"/>
      <c r="W39" s="551"/>
      <c r="X39" s="556"/>
      <c r="Y39" s="63"/>
    </row>
    <row r="40" spans="1:25" x14ac:dyDescent="0.25">
      <c r="A40" s="57">
        <v>37</v>
      </c>
      <c r="B40" s="54">
        <f t="shared" si="1"/>
        <v>12814.875</v>
      </c>
      <c r="C40" s="55" t="s">
        <v>106</v>
      </c>
      <c r="D40" s="56">
        <f t="shared" si="0"/>
        <v>13080.875</v>
      </c>
      <c r="E40" s="57"/>
      <c r="F40" s="58"/>
      <c r="G40" s="55"/>
      <c r="H40" s="56"/>
      <c r="I40" s="57"/>
      <c r="J40" s="58"/>
      <c r="K40" s="58"/>
      <c r="L40" s="56"/>
      <c r="M40" s="57">
        <v>5</v>
      </c>
      <c r="N40" s="58">
        <f>N32+14</f>
        <v>12814</v>
      </c>
      <c r="O40" s="55" t="s">
        <v>106</v>
      </c>
      <c r="P40" s="56">
        <f>P32+14</f>
        <v>13080</v>
      </c>
      <c r="Q40" s="57"/>
      <c r="R40" s="58"/>
      <c r="S40" s="55"/>
      <c r="T40" s="81"/>
      <c r="U40" s="549"/>
      <c r="V40" s="555"/>
      <c r="W40" s="551"/>
      <c r="X40" s="556"/>
      <c r="Y40" s="63"/>
    </row>
    <row r="41" spans="1:25" x14ac:dyDescent="0.25">
      <c r="A41" s="57">
        <v>38</v>
      </c>
      <c r="B41" s="54">
        <f t="shared" si="1"/>
        <v>12816.625</v>
      </c>
      <c r="C41" s="55" t="s">
        <v>106</v>
      </c>
      <c r="D41" s="56">
        <f t="shared" si="0"/>
        <v>13082.625</v>
      </c>
      <c r="E41" s="57">
        <v>19</v>
      </c>
      <c r="F41" s="58">
        <f>F39+3.5</f>
        <v>12815.75</v>
      </c>
      <c r="G41" s="55" t="s">
        <v>106</v>
      </c>
      <c r="H41" s="56">
        <f>H39+3.5</f>
        <v>13081.75</v>
      </c>
      <c r="I41" s="57"/>
      <c r="J41" s="58"/>
      <c r="K41" s="58"/>
      <c r="L41" s="56"/>
      <c r="M41" s="57"/>
      <c r="N41" s="58"/>
      <c r="O41" s="58"/>
      <c r="P41" s="56"/>
      <c r="Q41" s="57"/>
      <c r="R41" s="58"/>
      <c r="S41" s="55"/>
      <c r="T41" s="81"/>
      <c r="U41" s="549"/>
      <c r="V41" s="555"/>
      <c r="W41" s="551"/>
      <c r="X41" s="556"/>
      <c r="Y41" s="63"/>
    </row>
    <row r="42" spans="1:25" x14ac:dyDescent="0.25">
      <c r="A42" s="57">
        <v>39</v>
      </c>
      <c r="B42" s="54">
        <f t="shared" si="1"/>
        <v>12818.375</v>
      </c>
      <c r="C42" s="55" t="s">
        <v>106</v>
      </c>
      <c r="D42" s="56">
        <f t="shared" si="0"/>
        <v>13084.375</v>
      </c>
      <c r="E42" s="57"/>
      <c r="F42" s="58"/>
      <c r="G42" s="55"/>
      <c r="H42" s="56"/>
      <c r="I42" s="57">
        <v>10</v>
      </c>
      <c r="J42" s="58">
        <f>J38+7</f>
        <v>12817.5</v>
      </c>
      <c r="K42" s="55" t="s">
        <v>106</v>
      </c>
      <c r="L42" s="56">
        <f>L38+7</f>
        <v>13083.5</v>
      </c>
      <c r="M42" s="57"/>
      <c r="N42" s="58"/>
      <c r="O42" s="58"/>
      <c r="P42" s="56"/>
      <c r="Q42" s="57"/>
      <c r="R42" s="83"/>
      <c r="S42" s="55"/>
      <c r="T42" s="81"/>
      <c r="U42" s="549"/>
      <c r="V42" s="555"/>
      <c r="W42" s="551"/>
      <c r="X42" s="556"/>
      <c r="Y42" s="63"/>
    </row>
    <row r="43" spans="1:25" x14ac:dyDescent="0.25">
      <c r="A43" s="57">
        <v>40</v>
      </c>
      <c r="B43" s="84">
        <f t="shared" si="1"/>
        <v>12820.125</v>
      </c>
      <c r="C43" s="55" t="s">
        <v>106</v>
      </c>
      <c r="D43" s="56">
        <f t="shared" si="0"/>
        <v>13086.125</v>
      </c>
      <c r="E43" s="57">
        <v>20</v>
      </c>
      <c r="F43" s="58">
        <f>F41+3.5</f>
        <v>12819.25</v>
      </c>
      <c r="G43" s="55" t="s">
        <v>106</v>
      </c>
      <c r="H43" s="56">
        <f>H41+3.5</f>
        <v>13085.25</v>
      </c>
      <c r="I43" s="57"/>
      <c r="J43" s="58"/>
      <c r="K43" s="58"/>
      <c r="L43" s="56"/>
      <c r="M43" s="57"/>
      <c r="N43" s="58"/>
      <c r="O43" s="58"/>
      <c r="P43" s="56"/>
      <c r="Q43" s="57"/>
      <c r="R43" s="58"/>
      <c r="S43" s="55"/>
      <c r="T43" s="81"/>
      <c r="U43" s="57"/>
      <c r="V43" s="85"/>
      <c r="W43" s="55"/>
      <c r="X43" s="86"/>
      <c r="Y43" s="63" t="s">
        <v>171</v>
      </c>
    </row>
    <row r="44" spans="1:25" x14ac:dyDescent="0.25">
      <c r="A44" s="57">
        <v>41</v>
      </c>
      <c r="B44" s="54">
        <f t="shared" si="1"/>
        <v>12821.875</v>
      </c>
      <c r="C44" s="55" t="s">
        <v>106</v>
      </c>
      <c r="D44" s="56">
        <f t="shared" si="0"/>
        <v>13087.875</v>
      </c>
      <c r="E44" s="57"/>
      <c r="F44" s="58"/>
      <c r="G44" s="55"/>
      <c r="H44" s="56"/>
      <c r="I44" s="57"/>
      <c r="J44" s="58"/>
      <c r="K44" s="58"/>
      <c r="L44" s="56"/>
      <c r="M44" s="57"/>
      <c r="N44" s="58"/>
      <c r="O44" s="58"/>
      <c r="P44" s="56"/>
      <c r="Q44" s="57">
        <v>3</v>
      </c>
      <c r="R44" s="58">
        <f>R28+28</f>
        <v>12821</v>
      </c>
      <c r="S44" s="55" t="s">
        <v>106</v>
      </c>
      <c r="T44" s="81">
        <f>T28+28</f>
        <v>13087</v>
      </c>
      <c r="U44" s="57"/>
      <c r="V44" s="85"/>
      <c r="W44" s="55"/>
      <c r="X44" s="86"/>
      <c r="Y44" s="63"/>
    </row>
    <row r="45" spans="1:25" x14ac:dyDescent="0.25">
      <c r="A45" s="57">
        <v>42</v>
      </c>
      <c r="B45" s="54">
        <f t="shared" si="1"/>
        <v>12823.625</v>
      </c>
      <c r="C45" s="55" t="s">
        <v>106</v>
      </c>
      <c r="D45" s="56">
        <f t="shared" si="0"/>
        <v>13089.625</v>
      </c>
      <c r="E45" s="57">
        <v>21</v>
      </c>
      <c r="F45" s="58">
        <f>F43+3.5</f>
        <v>12822.75</v>
      </c>
      <c r="G45" s="55" t="s">
        <v>106</v>
      </c>
      <c r="H45" s="56">
        <f>H43+3.5</f>
        <v>13088.75</v>
      </c>
      <c r="I45" s="57"/>
      <c r="J45" s="58"/>
      <c r="K45" s="58"/>
      <c r="L45" s="56"/>
      <c r="M45" s="57"/>
      <c r="N45" s="58"/>
      <c r="O45" s="58"/>
      <c r="P45" s="56"/>
      <c r="Q45" s="57"/>
      <c r="R45" s="58"/>
      <c r="S45" s="55"/>
      <c r="T45" s="81"/>
      <c r="U45" s="57"/>
      <c r="V45" s="85"/>
      <c r="W45" s="55"/>
      <c r="X45" s="86"/>
      <c r="Y45" s="63"/>
    </row>
    <row r="46" spans="1:25" x14ac:dyDescent="0.25">
      <c r="A46" s="57">
        <v>43</v>
      </c>
      <c r="B46" s="54">
        <f t="shared" si="1"/>
        <v>12825.375</v>
      </c>
      <c r="C46" s="55" t="s">
        <v>106</v>
      </c>
      <c r="D46" s="56">
        <f t="shared" si="0"/>
        <v>13091.375</v>
      </c>
      <c r="E46" s="57"/>
      <c r="F46" s="58"/>
      <c r="G46" s="55"/>
      <c r="H46" s="56"/>
      <c r="I46" s="57">
        <v>11</v>
      </c>
      <c r="J46" s="58">
        <f>J42+7</f>
        <v>12824.5</v>
      </c>
      <c r="K46" s="55" t="s">
        <v>106</v>
      </c>
      <c r="L46" s="56">
        <f>L42+7</f>
        <v>13090.5</v>
      </c>
      <c r="M46" s="57"/>
      <c r="N46" s="58"/>
      <c r="O46" s="58"/>
      <c r="P46" s="56"/>
      <c r="Q46" s="57"/>
      <c r="R46" s="58"/>
      <c r="S46" s="55"/>
      <c r="T46" s="81"/>
      <c r="U46" s="57"/>
      <c r="V46" s="85"/>
      <c r="W46" s="55"/>
      <c r="X46" s="86"/>
      <c r="Y46" s="63"/>
    </row>
    <row r="47" spans="1:25" x14ac:dyDescent="0.25">
      <c r="A47" s="57">
        <v>44</v>
      </c>
      <c r="B47" s="54">
        <f t="shared" si="1"/>
        <v>12827.125</v>
      </c>
      <c r="C47" s="55" t="s">
        <v>106</v>
      </c>
      <c r="D47" s="56">
        <f t="shared" si="0"/>
        <v>13093.125</v>
      </c>
      <c r="E47" s="57">
        <v>22</v>
      </c>
      <c r="F47" s="58">
        <f>F45+3.5</f>
        <v>12826.25</v>
      </c>
      <c r="G47" s="55" t="s">
        <v>106</v>
      </c>
      <c r="H47" s="56">
        <f>H45+3.5</f>
        <v>13092.25</v>
      </c>
      <c r="I47" s="57"/>
      <c r="J47" s="58"/>
      <c r="K47" s="58"/>
      <c r="L47" s="56"/>
      <c r="M47" s="57"/>
      <c r="N47" s="58"/>
      <c r="O47" s="58"/>
      <c r="P47" s="56"/>
      <c r="Q47" s="57"/>
      <c r="R47" s="58"/>
      <c r="S47" s="55"/>
      <c r="T47" s="81"/>
      <c r="U47" s="57"/>
      <c r="V47" s="85"/>
      <c r="W47" s="55"/>
      <c r="X47" s="86"/>
      <c r="Y47" s="63"/>
    </row>
    <row r="48" spans="1:25" x14ac:dyDescent="0.25">
      <c r="A48" s="57">
        <v>45</v>
      </c>
      <c r="B48" s="54">
        <f t="shared" si="1"/>
        <v>12828.875</v>
      </c>
      <c r="C48" s="55" t="s">
        <v>106</v>
      </c>
      <c r="D48" s="56">
        <f t="shared" si="0"/>
        <v>13094.875</v>
      </c>
      <c r="E48" s="57"/>
      <c r="F48" s="58"/>
      <c r="G48" s="55"/>
      <c r="H48" s="56"/>
      <c r="I48" s="57"/>
      <c r="J48" s="58"/>
      <c r="K48" s="58"/>
      <c r="L48" s="56"/>
      <c r="M48" s="57">
        <v>6</v>
      </c>
      <c r="N48" s="58">
        <f>N40+14</f>
        <v>12828</v>
      </c>
      <c r="O48" s="55" t="s">
        <v>106</v>
      </c>
      <c r="P48" s="56">
        <f>P40+14</f>
        <v>13094</v>
      </c>
      <c r="Q48" s="57"/>
      <c r="R48" s="58"/>
      <c r="S48" s="55"/>
      <c r="T48" s="81"/>
      <c r="U48" s="57"/>
      <c r="V48" s="85"/>
      <c r="W48" s="55"/>
      <c r="X48" s="86"/>
      <c r="Y48" s="63"/>
    </row>
    <row r="49" spans="1:25" x14ac:dyDescent="0.25">
      <c r="A49" s="57">
        <v>46</v>
      </c>
      <c r="B49" s="54">
        <f t="shared" si="1"/>
        <v>12830.625</v>
      </c>
      <c r="C49" s="55" t="s">
        <v>106</v>
      </c>
      <c r="D49" s="56">
        <f t="shared" si="0"/>
        <v>13096.625</v>
      </c>
      <c r="E49" s="57">
        <v>23</v>
      </c>
      <c r="F49" s="58">
        <f>F47+3.5</f>
        <v>12829.75</v>
      </c>
      <c r="G49" s="55" t="s">
        <v>106</v>
      </c>
      <c r="H49" s="56">
        <f>H47+3.5</f>
        <v>13095.75</v>
      </c>
      <c r="I49" s="57"/>
      <c r="J49" s="58"/>
      <c r="K49" s="58"/>
      <c r="L49" s="56"/>
      <c r="M49" s="57"/>
      <c r="N49" s="58"/>
      <c r="O49" s="58"/>
      <c r="P49" s="56"/>
      <c r="Q49" s="57"/>
      <c r="R49" s="58"/>
      <c r="S49" s="55"/>
      <c r="T49" s="81"/>
      <c r="U49" s="57"/>
      <c r="V49" s="85"/>
      <c r="W49" s="55"/>
      <c r="X49" s="86"/>
      <c r="Y49" s="63"/>
    </row>
    <row r="50" spans="1:25" x14ac:dyDescent="0.25">
      <c r="A50" s="57">
        <v>47</v>
      </c>
      <c r="B50" s="54">
        <f t="shared" si="1"/>
        <v>12832.375</v>
      </c>
      <c r="C50" s="55" t="s">
        <v>106</v>
      </c>
      <c r="D50" s="56">
        <f t="shared" si="0"/>
        <v>13098.375</v>
      </c>
      <c r="E50" s="57"/>
      <c r="F50" s="58"/>
      <c r="G50" s="55"/>
      <c r="H50" s="56"/>
      <c r="I50" s="57">
        <v>12</v>
      </c>
      <c r="J50" s="58">
        <f>J46+7</f>
        <v>12831.5</v>
      </c>
      <c r="K50" s="55" t="s">
        <v>106</v>
      </c>
      <c r="L50" s="56">
        <f>L46+7</f>
        <v>13097.5</v>
      </c>
      <c r="M50" s="57"/>
      <c r="N50" s="58"/>
      <c r="O50" s="58"/>
      <c r="P50" s="56"/>
      <c r="Q50" s="57"/>
      <c r="R50" s="58"/>
      <c r="S50" s="55"/>
      <c r="T50" s="81"/>
      <c r="U50" s="57"/>
      <c r="V50" s="85"/>
      <c r="W50" s="55"/>
      <c r="X50" s="86"/>
      <c r="Y50" s="63"/>
    </row>
    <row r="51" spans="1:25" ht="15.75" thickBot="1" x14ac:dyDescent="0.3">
      <c r="A51" s="67">
        <v>48</v>
      </c>
      <c r="B51" s="44">
        <f t="shared" si="1"/>
        <v>12834.125</v>
      </c>
      <c r="C51" s="65" t="s">
        <v>106</v>
      </c>
      <c r="D51" s="66">
        <f t="shared" si="0"/>
        <v>13100.125</v>
      </c>
      <c r="E51" s="67">
        <v>24</v>
      </c>
      <c r="F51" s="68">
        <f>F49+3.5</f>
        <v>12833.25</v>
      </c>
      <c r="G51" s="65" t="s">
        <v>106</v>
      </c>
      <c r="H51" s="66">
        <f>H49+3.5</f>
        <v>13099.25</v>
      </c>
      <c r="I51" s="67"/>
      <c r="J51" s="68"/>
      <c r="K51" s="68"/>
      <c r="L51" s="66"/>
      <c r="M51" s="67"/>
      <c r="N51" s="68"/>
      <c r="O51" s="68"/>
      <c r="P51" s="66"/>
      <c r="Q51" s="67"/>
      <c r="R51" s="68"/>
      <c r="S51" s="65"/>
      <c r="T51" s="87"/>
      <c r="U51" s="67">
        <v>3</v>
      </c>
      <c r="V51" s="88">
        <v>12835</v>
      </c>
      <c r="W51" s="65" t="s">
        <v>106</v>
      </c>
      <c r="X51" s="89">
        <v>13101</v>
      </c>
      <c r="Y51" s="73"/>
    </row>
    <row r="52" spans="1:25" x14ac:dyDescent="0.25">
      <c r="A52" s="77">
        <v>49</v>
      </c>
      <c r="B52" s="74">
        <f t="shared" si="1"/>
        <v>12835.875</v>
      </c>
      <c r="C52" s="75" t="s">
        <v>106</v>
      </c>
      <c r="D52" s="76">
        <f t="shared" si="0"/>
        <v>13101.875</v>
      </c>
      <c r="E52" s="77"/>
      <c r="F52" s="78"/>
      <c r="G52" s="75"/>
      <c r="H52" s="76"/>
      <c r="I52" s="77"/>
      <c r="J52" s="78"/>
      <c r="K52" s="78"/>
      <c r="L52" s="76"/>
      <c r="M52" s="77"/>
      <c r="N52" s="78"/>
      <c r="O52" s="78"/>
      <c r="P52" s="76"/>
      <c r="Q52" s="77"/>
      <c r="R52" s="78"/>
      <c r="S52" s="75"/>
      <c r="T52" s="79"/>
      <c r="U52" s="77"/>
      <c r="V52" s="90"/>
      <c r="W52" s="75"/>
      <c r="X52" s="91"/>
      <c r="Y52" s="80"/>
    </row>
    <row r="53" spans="1:25" x14ac:dyDescent="0.25">
      <c r="A53" s="57">
        <v>50</v>
      </c>
      <c r="B53" s="54">
        <f t="shared" si="1"/>
        <v>12837.625</v>
      </c>
      <c r="C53" s="55" t="s">
        <v>106</v>
      </c>
      <c r="D53" s="56">
        <f t="shared" si="0"/>
        <v>13103.625</v>
      </c>
      <c r="E53" s="57">
        <v>25</v>
      </c>
      <c r="F53" s="58">
        <f>F51+3.5</f>
        <v>12836.75</v>
      </c>
      <c r="G53" s="55" t="s">
        <v>106</v>
      </c>
      <c r="H53" s="56">
        <f>H51+3.5</f>
        <v>13102.75</v>
      </c>
      <c r="I53" s="57"/>
      <c r="J53" s="58"/>
      <c r="K53" s="58"/>
      <c r="L53" s="56"/>
      <c r="M53" s="57"/>
      <c r="N53" s="58"/>
      <c r="O53" s="58"/>
      <c r="P53" s="56"/>
      <c r="Q53" s="57"/>
      <c r="R53" s="58"/>
      <c r="S53" s="55"/>
      <c r="T53" s="81"/>
      <c r="U53" s="57"/>
      <c r="V53" s="85"/>
      <c r="W53" s="55"/>
      <c r="X53" s="86"/>
      <c r="Y53" s="63"/>
    </row>
    <row r="54" spans="1:25" x14ac:dyDescent="0.25">
      <c r="A54" s="57">
        <v>51</v>
      </c>
      <c r="B54" s="54">
        <f t="shared" si="1"/>
        <v>12839.375</v>
      </c>
      <c r="C54" s="55" t="s">
        <v>106</v>
      </c>
      <c r="D54" s="56">
        <f t="shared" si="0"/>
        <v>13105.375</v>
      </c>
      <c r="E54" s="57"/>
      <c r="F54" s="58"/>
      <c r="G54" s="55"/>
      <c r="H54" s="56"/>
      <c r="I54" s="57">
        <v>13</v>
      </c>
      <c r="J54" s="58">
        <f>J50+7</f>
        <v>12838.5</v>
      </c>
      <c r="K54" s="55" t="s">
        <v>106</v>
      </c>
      <c r="L54" s="56">
        <f>L50+7</f>
        <v>13104.5</v>
      </c>
      <c r="M54" s="57"/>
      <c r="N54" s="58"/>
      <c r="O54" s="58"/>
      <c r="P54" s="56"/>
      <c r="Q54" s="57"/>
      <c r="R54" s="58"/>
      <c r="S54" s="55"/>
      <c r="T54" s="81"/>
      <c r="U54" s="57"/>
      <c r="V54" s="85"/>
      <c r="W54" s="55"/>
      <c r="X54" s="86"/>
      <c r="Y54" s="63"/>
    </row>
    <row r="55" spans="1:25" x14ac:dyDescent="0.25">
      <c r="A55" s="57">
        <v>52</v>
      </c>
      <c r="B55" s="54">
        <f t="shared" si="1"/>
        <v>12841.125</v>
      </c>
      <c r="C55" s="55" t="s">
        <v>106</v>
      </c>
      <c r="D55" s="56">
        <f t="shared" si="0"/>
        <v>13107.125</v>
      </c>
      <c r="E55" s="57">
        <v>26</v>
      </c>
      <c r="F55" s="58">
        <f>F53+3.5</f>
        <v>12840.25</v>
      </c>
      <c r="G55" s="55" t="s">
        <v>106</v>
      </c>
      <c r="H55" s="56">
        <f>H53+3.5</f>
        <v>13106.25</v>
      </c>
      <c r="I55" s="57"/>
      <c r="J55" s="58"/>
      <c r="K55" s="58"/>
      <c r="L55" s="56"/>
      <c r="M55" s="57"/>
      <c r="N55" s="58"/>
      <c r="O55" s="58"/>
      <c r="P55" s="56"/>
      <c r="Q55" s="57"/>
      <c r="R55" s="58"/>
      <c r="S55" s="55"/>
      <c r="T55" s="81"/>
      <c r="U55" s="57"/>
      <c r="V55" s="85"/>
      <c r="W55" s="55"/>
      <c r="X55" s="86"/>
      <c r="Y55" s="63"/>
    </row>
    <row r="56" spans="1:25" x14ac:dyDescent="0.25">
      <c r="A56" s="57">
        <v>53</v>
      </c>
      <c r="B56" s="54">
        <f t="shared" si="1"/>
        <v>12842.875</v>
      </c>
      <c r="C56" s="55" t="s">
        <v>106</v>
      </c>
      <c r="D56" s="56">
        <f t="shared" si="0"/>
        <v>13108.875</v>
      </c>
      <c r="E56" s="57"/>
      <c r="F56" s="58"/>
      <c r="G56" s="55"/>
      <c r="H56" s="56"/>
      <c r="I56" s="57"/>
      <c r="J56" s="58"/>
      <c r="K56" s="58"/>
      <c r="L56" s="56"/>
      <c r="M56" s="57">
        <v>7</v>
      </c>
      <c r="N56" s="58">
        <f>N48+14</f>
        <v>12842</v>
      </c>
      <c r="O56" s="55" t="s">
        <v>106</v>
      </c>
      <c r="P56" s="56">
        <f>P48+14</f>
        <v>13108</v>
      </c>
      <c r="Q56" s="57"/>
      <c r="R56" s="58"/>
      <c r="S56" s="55"/>
      <c r="T56" s="81"/>
      <c r="U56" s="57"/>
      <c r="V56" s="85"/>
      <c r="W56" s="55"/>
      <c r="X56" s="86"/>
      <c r="Y56" s="63"/>
    </row>
    <row r="57" spans="1:25" x14ac:dyDescent="0.25">
      <c r="A57" s="57">
        <v>54</v>
      </c>
      <c r="B57" s="54">
        <f t="shared" si="1"/>
        <v>12844.625</v>
      </c>
      <c r="C57" s="55" t="s">
        <v>106</v>
      </c>
      <c r="D57" s="56">
        <f t="shared" si="0"/>
        <v>13110.625</v>
      </c>
      <c r="E57" s="57">
        <v>27</v>
      </c>
      <c r="F57" s="58">
        <f>F55+3.5</f>
        <v>12843.75</v>
      </c>
      <c r="G57" s="55" t="s">
        <v>106</v>
      </c>
      <c r="H57" s="56">
        <f>H55+3.5</f>
        <v>13109.75</v>
      </c>
      <c r="I57" s="57"/>
      <c r="J57" s="58"/>
      <c r="K57" s="58"/>
      <c r="L57" s="56"/>
      <c r="M57" s="57"/>
      <c r="N57" s="58"/>
      <c r="O57" s="58"/>
      <c r="P57" s="56"/>
      <c r="Q57" s="57"/>
      <c r="R57" s="58"/>
      <c r="S57" s="55"/>
      <c r="T57" s="81"/>
      <c r="U57" s="57"/>
      <c r="V57" s="85"/>
      <c r="W57" s="55"/>
      <c r="X57" s="86"/>
      <c r="Y57" s="63"/>
    </row>
    <row r="58" spans="1:25" x14ac:dyDescent="0.25">
      <c r="A58" s="57">
        <v>55</v>
      </c>
      <c r="B58" s="54">
        <f t="shared" si="1"/>
        <v>12846.375</v>
      </c>
      <c r="C58" s="55" t="s">
        <v>106</v>
      </c>
      <c r="D58" s="56">
        <f t="shared" si="0"/>
        <v>13112.375</v>
      </c>
      <c r="E58" s="57"/>
      <c r="F58" s="58"/>
      <c r="G58" s="55"/>
      <c r="H58" s="56"/>
      <c r="I58" s="57">
        <v>14</v>
      </c>
      <c r="J58" s="58">
        <f>J54+7</f>
        <v>12845.5</v>
      </c>
      <c r="K58" s="55" t="s">
        <v>106</v>
      </c>
      <c r="L58" s="56">
        <f>L54+7</f>
        <v>13111.5</v>
      </c>
      <c r="M58" s="57"/>
      <c r="N58" s="58"/>
      <c r="O58" s="58"/>
      <c r="P58" s="56"/>
      <c r="Q58" s="57"/>
      <c r="R58" s="58"/>
      <c r="S58" s="55"/>
      <c r="T58" s="81"/>
      <c r="U58" s="57"/>
      <c r="V58" s="85"/>
      <c r="W58" s="55"/>
      <c r="X58" s="86"/>
      <c r="Y58" s="63"/>
    </row>
    <row r="59" spans="1:25" x14ac:dyDescent="0.25">
      <c r="A59" s="57">
        <v>56</v>
      </c>
      <c r="B59" s="54">
        <f t="shared" si="1"/>
        <v>12848.125</v>
      </c>
      <c r="C59" s="55" t="s">
        <v>106</v>
      </c>
      <c r="D59" s="56">
        <f t="shared" si="0"/>
        <v>13114.125</v>
      </c>
      <c r="E59" s="57">
        <v>28</v>
      </c>
      <c r="F59" s="58">
        <f>F57+3.5</f>
        <v>12847.25</v>
      </c>
      <c r="G59" s="55" t="s">
        <v>106</v>
      </c>
      <c r="H59" s="56">
        <f>H57+3.5</f>
        <v>13113.25</v>
      </c>
      <c r="I59" s="57"/>
      <c r="J59" s="58"/>
      <c r="K59" s="58"/>
      <c r="L59" s="56"/>
      <c r="M59" s="57"/>
      <c r="N59" s="58"/>
      <c r="O59" s="58"/>
      <c r="P59" s="56"/>
      <c r="Q59" s="57"/>
      <c r="R59" s="58"/>
      <c r="S59" s="55"/>
      <c r="T59" s="81"/>
      <c r="U59" s="57"/>
      <c r="V59" s="85"/>
      <c r="W59" s="55"/>
      <c r="X59" s="86"/>
      <c r="Y59" s="63" t="s">
        <v>171</v>
      </c>
    </row>
    <row r="60" spans="1:25" x14ac:dyDescent="0.25">
      <c r="A60" s="57">
        <v>57</v>
      </c>
      <c r="B60" s="54">
        <f t="shared" si="1"/>
        <v>12849.875</v>
      </c>
      <c r="C60" s="55" t="s">
        <v>106</v>
      </c>
      <c r="D60" s="56">
        <f t="shared" si="0"/>
        <v>13115.875</v>
      </c>
      <c r="E60" s="57"/>
      <c r="F60" s="58"/>
      <c r="G60" s="55"/>
      <c r="H60" s="56"/>
      <c r="I60" s="57"/>
      <c r="J60" s="58"/>
      <c r="K60" s="58"/>
      <c r="L60" s="56"/>
      <c r="M60" s="57"/>
      <c r="N60" s="58"/>
      <c r="O60" s="58"/>
      <c r="P60" s="56"/>
      <c r="Q60" s="57">
        <v>4</v>
      </c>
      <c r="R60" s="58">
        <f>R44+28</f>
        <v>12849</v>
      </c>
      <c r="S60" s="55" t="s">
        <v>106</v>
      </c>
      <c r="T60" s="81">
        <f>T44+28</f>
        <v>13115</v>
      </c>
      <c r="U60" s="57"/>
      <c r="V60" s="85"/>
      <c r="W60" s="55"/>
      <c r="X60" s="86"/>
      <c r="Y60" s="63"/>
    </row>
    <row r="61" spans="1:25" x14ac:dyDescent="0.25">
      <c r="A61" s="57">
        <v>58</v>
      </c>
      <c r="B61" s="54">
        <f t="shared" si="1"/>
        <v>12851.625</v>
      </c>
      <c r="C61" s="55" t="s">
        <v>106</v>
      </c>
      <c r="D61" s="56">
        <f t="shared" si="0"/>
        <v>13117.625</v>
      </c>
      <c r="E61" s="57">
        <v>29</v>
      </c>
      <c r="F61" s="58">
        <f>F59+3.5</f>
        <v>12850.75</v>
      </c>
      <c r="G61" s="55" t="s">
        <v>106</v>
      </c>
      <c r="H61" s="56">
        <f>H59+3.5</f>
        <v>13116.75</v>
      </c>
      <c r="I61" s="57"/>
      <c r="J61" s="58"/>
      <c r="K61" s="58"/>
      <c r="L61" s="56"/>
      <c r="M61" s="57"/>
      <c r="N61" s="58"/>
      <c r="O61" s="58"/>
      <c r="P61" s="56"/>
      <c r="Q61" s="57"/>
      <c r="R61" s="58"/>
      <c r="S61" s="55"/>
      <c r="T61" s="81"/>
      <c r="U61" s="57"/>
      <c r="V61" s="85"/>
      <c r="W61" s="55"/>
      <c r="X61" s="86"/>
      <c r="Y61" s="63"/>
    </row>
    <row r="62" spans="1:25" x14ac:dyDescent="0.25">
      <c r="A62" s="57">
        <v>59</v>
      </c>
      <c r="B62" s="54">
        <f t="shared" si="1"/>
        <v>12853.375</v>
      </c>
      <c r="C62" s="55" t="s">
        <v>106</v>
      </c>
      <c r="D62" s="56">
        <f t="shared" si="0"/>
        <v>13119.375</v>
      </c>
      <c r="E62" s="57"/>
      <c r="F62" s="58"/>
      <c r="G62" s="55"/>
      <c r="H62" s="56"/>
      <c r="I62" s="57">
        <v>15</v>
      </c>
      <c r="J62" s="58">
        <f>J58+7</f>
        <v>12852.5</v>
      </c>
      <c r="K62" s="55" t="s">
        <v>106</v>
      </c>
      <c r="L62" s="56">
        <f>L58+7</f>
        <v>13118.5</v>
      </c>
      <c r="M62" s="57"/>
      <c r="N62" s="58"/>
      <c r="O62" s="58"/>
      <c r="P62" s="56"/>
      <c r="Q62" s="57"/>
      <c r="R62" s="58"/>
      <c r="S62" s="55"/>
      <c r="T62" s="81"/>
      <c r="U62" s="57"/>
      <c r="V62" s="85"/>
      <c r="W62" s="55"/>
      <c r="X62" s="86"/>
      <c r="Y62" s="63"/>
    </row>
    <row r="63" spans="1:25" x14ac:dyDescent="0.25">
      <c r="A63" s="57">
        <v>60</v>
      </c>
      <c r="B63" s="54">
        <f t="shared" si="1"/>
        <v>12855.125</v>
      </c>
      <c r="C63" s="55" t="s">
        <v>106</v>
      </c>
      <c r="D63" s="56">
        <f t="shared" si="0"/>
        <v>13121.125</v>
      </c>
      <c r="E63" s="57">
        <v>30</v>
      </c>
      <c r="F63" s="58">
        <f>F61+3.5</f>
        <v>12854.25</v>
      </c>
      <c r="G63" s="55" t="s">
        <v>106</v>
      </c>
      <c r="H63" s="56">
        <f>H61+3.5</f>
        <v>13120.25</v>
      </c>
      <c r="I63" s="57"/>
      <c r="J63" s="58"/>
      <c r="K63" s="58"/>
      <c r="L63" s="56"/>
      <c r="M63" s="57"/>
      <c r="N63" s="58"/>
      <c r="O63" s="58"/>
      <c r="P63" s="56"/>
      <c r="Q63" s="57"/>
      <c r="R63" s="58"/>
      <c r="S63" s="55"/>
      <c r="T63" s="81"/>
      <c r="U63" s="57"/>
      <c r="V63" s="85"/>
      <c r="W63" s="55"/>
      <c r="X63" s="86"/>
      <c r="Y63" s="63"/>
    </row>
    <row r="64" spans="1:25" x14ac:dyDescent="0.25">
      <c r="A64" s="57">
        <v>61</v>
      </c>
      <c r="B64" s="54">
        <f t="shared" si="1"/>
        <v>12856.875</v>
      </c>
      <c r="C64" s="55" t="s">
        <v>106</v>
      </c>
      <c r="D64" s="56">
        <f t="shared" si="0"/>
        <v>13122.875</v>
      </c>
      <c r="E64" s="57"/>
      <c r="F64" s="58"/>
      <c r="G64" s="55"/>
      <c r="H64" s="56"/>
      <c r="I64" s="57"/>
      <c r="J64" s="58"/>
      <c r="K64" s="58"/>
      <c r="L64" s="56"/>
      <c r="M64" s="57">
        <v>8</v>
      </c>
      <c r="N64" s="58">
        <f>N56+14</f>
        <v>12856</v>
      </c>
      <c r="O64" s="55" t="s">
        <v>106</v>
      </c>
      <c r="P64" s="56">
        <f>P56+14</f>
        <v>13122</v>
      </c>
      <c r="Q64" s="57"/>
      <c r="R64" s="58"/>
      <c r="S64" s="55"/>
      <c r="T64" s="81"/>
      <c r="U64" s="57"/>
      <c r="V64" s="85"/>
      <c r="W64" s="55"/>
      <c r="X64" s="86"/>
      <c r="Y64" s="63"/>
    </row>
    <row r="65" spans="1:25" x14ac:dyDescent="0.25">
      <c r="A65" s="57">
        <v>62</v>
      </c>
      <c r="B65" s="54">
        <f t="shared" si="1"/>
        <v>12858.625</v>
      </c>
      <c r="C65" s="55" t="s">
        <v>106</v>
      </c>
      <c r="D65" s="56">
        <f t="shared" si="0"/>
        <v>13124.625</v>
      </c>
      <c r="E65" s="57">
        <v>31</v>
      </c>
      <c r="F65" s="58">
        <f>F63+3.5</f>
        <v>12857.75</v>
      </c>
      <c r="G65" s="55" t="s">
        <v>106</v>
      </c>
      <c r="H65" s="56">
        <f>H63+3.5</f>
        <v>13123.75</v>
      </c>
      <c r="I65" s="57"/>
      <c r="J65" s="58"/>
      <c r="K65" s="58"/>
      <c r="L65" s="56"/>
      <c r="M65" s="57"/>
      <c r="N65" s="58"/>
      <c r="O65" s="58"/>
      <c r="P65" s="56"/>
      <c r="Q65" s="57"/>
      <c r="R65" s="58"/>
      <c r="S65" s="55"/>
      <c r="T65" s="81"/>
      <c r="U65" s="57"/>
      <c r="V65" s="85"/>
      <c r="W65" s="55"/>
      <c r="X65" s="86"/>
      <c r="Y65" s="63"/>
    </row>
    <row r="66" spans="1:25" x14ac:dyDescent="0.25">
      <c r="A66" s="57">
        <v>63</v>
      </c>
      <c r="B66" s="54">
        <f t="shared" si="1"/>
        <v>12860.375</v>
      </c>
      <c r="C66" s="55" t="s">
        <v>106</v>
      </c>
      <c r="D66" s="56">
        <f t="shared" si="0"/>
        <v>13126.375</v>
      </c>
      <c r="E66" s="57"/>
      <c r="F66" s="58"/>
      <c r="G66" s="55"/>
      <c r="H66" s="56"/>
      <c r="I66" s="57">
        <v>16</v>
      </c>
      <c r="J66" s="58">
        <f>J62+7</f>
        <v>12859.5</v>
      </c>
      <c r="K66" s="55" t="s">
        <v>106</v>
      </c>
      <c r="L66" s="56">
        <f>L62+7</f>
        <v>13125.5</v>
      </c>
      <c r="M66" s="57"/>
      <c r="N66" s="58"/>
      <c r="O66" s="58"/>
      <c r="P66" s="56"/>
      <c r="Q66" s="57"/>
      <c r="R66" s="58"/>
      <c r="S66" s="55"/>
      <c r="T66" s="81"/>
      <c r="U66" s="57"/>
      <c r="V66" s="85"/>
      <c r="W66" s="55"/>
      <c r="X66" s="86"/>
      <c r="Y66" s="63"/>
    </row>
    <row r="67" spans="1:25" ht="15.75" thickBot="1" x14ac:dyDescent="0.3">
      <c r="A67" s="67">
        <v>64</v>
      </c>
      <c r="B67" s="44">
        <f t="shared" si="1"/>
        <v>12862.125</v>
      </c>
      <c r="C67" s="65" t="s">
        <v>106</v>
      </c>
      <c r="D67" s="66">
        <f t="shared" si="0"/>
        <v>13128.125</v>
      </c>
      <c r="E67" s="67">
        <v>32</v>
      </c>
      <c r="F67" s="68">
        <f>F65+3.5</f>
        <v>12861.25</v>
      </c>
      <c r="G67" s="65" t="s">
        <v>106</v>
      </c>
      <c r="H67" s="66">
        <f>H65+3.5</f>
        <v>13127.25</v>
      </c>
      <c r="I67" s="67"/>
      <c r="J67" s="68"/>
      <c r="K67" s="68"/>
      <c r="L67" s="66"/>
      <c r="M67" s="67"/>
      <c r="N67" s="68"/>
      <c r="O67" s="68"/>
      <c r="P67" s="66"/>
      <c r="Q67" s="67"/>
      <c r="R67" s="68"/>
      <c r="S67" s="65"/>
      <c r="T67" s="87"/>
      <c r="U67" s="67">
        <v>4</v>
      </c>
      <c r="V67" s="88">
        <v>12863</v>
      </c>
      <c r="W67" s="65" t="s">
        <v>106</v>
      </c>
      <c r="X67" s="89">
        <v>13129</v>
      </c>
      <c r="Y67" s="73"/>
    </row>
    <row r="68" spans="1:25" x14ac:dyDescent="0.25">
      <c r="A68" s="77">
        <v>65</v>
      </c>
      <c r="B68" s="74">
        <f t="shared" si="1"/>
        <v>12863.875</v>
      </c>
      <c r="C68" s="75" t="s">
        <v>106</v>
      </c>
      <c r="D68" s="76">
        <f t="shared" si="0"/>
        <v>13129.875</v>
      </c>
      <c r="E68" s="77"/>
      <c r="F68" s="78"/>
      <c r="G68" s="75"/>
      <c r="H68" s="76"/>
      <c r="I68" s="77"/>
      <c r="J68" s="78"/>
      <c r="K68" s="78"/>
      <c r="L68" s="76"/>
      <c r="M68" s="77"/>
      <c r="N68" s="78"/>
      <c r="O68" s="78"/>
      <c r="P68" s="76"/>
      <c r="Q68" s="77"/>
      <c r="R68" s="78"/>
      <c r="S68" s="75"/>
      <c r="T68" s="79"/>
      <c r="U68" s="77"/>
      <c r="V68" s="90"/>
      <c r="W68" s="75"/>
      <c r="X68" s="91"/>
      <c r="Y68" s="80"/>
    </row>
    <row r="69" spans="1:25" x14ac:dyDescent="0.25">
      <c r="A69" s="57">
        <v>66</v>
      </c>
      <c r="B69" s="54">
        <f t="shared" si="1"/>
        <v>12865.625</v>
      </c>
      <c r="C69" s="55" t="s">
        <v>106</v>
      </c>
      <c r="D69" s="56">
        <f t="shared" ref="D69:D131" si="2">D68+1.75</f>
        <v>13131.625</v>
      </c>
      <c r="E69" s="57">
        <v>33</v>
      </c>
      <c r="F69" s="58">
        <f>F67+3.5</f>
        <v>12864.75</v>
      </c>
      <c r="G69" s="55" t="s">
        <v>106</v>
      </c>
      <c r="H69" s="56">
        <f>H67+3.5</f>
        <v>13130.75</v>
      </c>
      <c r="I69" s="57"/>
      <c r="J69" s="58"/>
      <c r="K69" s="58"/>
      <c r="L69" s="56"/>
      <c r="M69" s="57"/>
      <c r="N69" s="58"/>
      <c r="O69" s="58"/>
      <c r="P69" s="56"/>
      <c r="Q69" s="57"/>
      <c r="R69" s="58"/>
      <c r="S69" s="55"/>
      <c r="T69" s="81"/>
      <c r="U69" s="57"/>
      <c r="V69" s="85"/>
      <c r="W69" s="55"/>
      <c r="X69" s="86"/>
      <c r="Y69" s="63"/>
    </row>
    <row r="70" spans="1:25" x14ac:dyDescent="0.25">
      <c r="A70" s="57">
        <v>67</v>
      </c>
      <c r="B70" s="54">
        <f t="shared" si="1"/>
        <v>12867.375</v>
      </c>
      <c r="C70" s="55" t="s">
        <v>106</v>
      </c>
      <c r="D70" s="56">
        <f t="shared" si="2"/>
        <v>13133.375</v>
      </c>
      <c r="E70" s="57"/>
      <c r="F70" s="58"/>
      <c r="G70" s="55"/>
      <c r="H70" s="56"/>
      <c r="I70" s="57">
        <v>17</v>
      </c>
      <c r="J70" s="58">
        <f>J66+7</f>
        <v>12866.5</v>
      </c>
      <c r="K70" s="55" t="s">
        <v>106</v>
      </c>
      <c r="L70" s="56">
        <f>L66+7</f>
        <v>13132.5</v>
      </c>
      <c r="M70" s="57"/>
      <c r="N70" s="58"/>
      <c r="O70" s="58"/>
      <c r="P70" s="56"/>
      <c r="Q70" s="57"/>
      <c r="R70" s="58"/>
      <c r="S70" s="55"/>
      <c r="T70" s="81"/>
      <c r="U70" s="57"/>
      <c r="V70" s="85"/>
      <c r="W70" s="55"/>
      <c r="X70" s="86"/>
      <c r="Y70" s="63"/>
    </row>
    <row r="71" spans="1:25" x14ac:dyDescent="0.25">
      <c r="A71" s="57">
        <v>68</v>
      </c>
      <c r="B71" s="54">
        <f t="shared" si="1"/>
        <v>12869.125</v>
      </c>
      <c r="C71" s="55" t="s">
        <v>106</v>
      </c>
      <c r="D71" s="56">
        <f t="shared" si="2"/>
        <v>13135.125</v>
      </c>
      <c r="E71" s="57">
        <v>34</v>
      </c>
      <c r="F71" s="58">
        <f>F69+3.5</f>
        <v>12868.25</v>
      </c>
      <c r="G71" s="55" t="s">
        <v>106</v>
      </c>
      <c r="H71" s="56">
        <f>H69+3.5</f>
        <v>13134.25</v>
      </c>
      <c r="I71" s="57"/>
      <c r="J71" s="58"/>
      <c r="K71" s="58"/>
      <c r="L71" s="56"/>
      <c r="M71" s="57"/>
      <c r="N71" s="58"/>
      <c r="O71" s="58"/>
      <c r="P71" s="56"/>
      <c r="Q71" s="57"/>
      <c r="R71" s="58"/>
      <c r="S71" s="55"/>
      <c r="T71" s="81"/>
      <c r="U71" s="57"/>
      <c r="V71" s="85"/>
      <c r="W71" s="55"/>
      <c r="X71" s="86"/>
      <c r="Y71" s="63"/>
    </row>
    <row r="72" spans="1:25" x14ac:dyDescent="0.25">
      <c r="A72" s="57">
        <v>69</v>
      </c>
      <c r="B72" s="54">
        <f t="shared" si="1"/>
        <v>12870.875</v>
      </c>
      <c r="C72" s="55" t="s">
        <v>106</v>
      </c>
      <c r="D72" s="56">
        <f t="shared" si="2"/>
        <v>13136.875</v>
      </c>
      <c r="E72" s="57"/>
      <c r="F72" s="58"/>
      <c r="G72" s="55"/>
      <c r="H72" s="56"/>
      <c r="I72" s="57"/>
      <c r="J72" s="58"/>
      <c r="K72" s="58"/>
      <c r="L72" s="56"/>
      <c r="M72" s="57">
        <v>9</v>
      </c>
      <c r="N72" s="58">
        <f>N64+14</f>
        <v>12870</v>
      </c>
      <c r="O72" s="55" t="s">
        <v>106</v>
      </c>
      <c r="P72" s="56">
        <f>P64+14</f>
        <v>13136</v>
      </c>
      <c r="Q72" s="57"/>
      <c r="R72" s="58"/>
      <c r="S72" s="55"/>
      <c r="T72" s="81"/>
      <c r="U72" s="57"/>
      <c r="V72" s="85"/>
      <c r="W72" s="55"/>
      <c r="X72" s="86"/>
      <c r="Y72" s="63"/>
    </row>
    <row r="73" spans="1:25" x14ac:dyDescent="0.25">
      <c r="A73" s="57">
        <v>70</v>
      </c>
      <c r="B73" s="54">
        <f t="shared" si="1"/>
        <v>12872.625</v>
      </c>
      <c r="C73" s="55" t="s">
        <v>106</v>
      </c>
      <c r="D73" s="56">
        <f t="shared" si="2"/>
        <v>13138.625</v>
      </c>
      <c r="E73" s="57">
        <v>35</v>
      </c>
      <c r="F73" s="58">
        <f>F71+3.5</f>
        <v>12871.75</v>
      </c>
      <c r="G73" s="55" t="s">
        <v>106</v>
      </c>
      <c r="H73" s="56">
        <f>H71+3.5</f>
        <v>13137.75</v>
      </c>
      <c r="I73" s="57"/>
      <c r="J73" s="58"/>
      <c r="K73" s="58"/>
      <c r="L73" s="56"/>
      <c r="M73" s="57"/>
      <c r="N73" s="58"/>
      <c r="O73" s="55"/>
      <c r="P73" s="56"/>
      <c r="Q73" s="57"/>
      <c r="R73" s="58"/>
      <c r="S73" s="55"/>
      <c r="T73" s="81"/>
      <c r="U73" s="57"/>
      <c r="V73" s="85"/>
      <c r="W73" s="55"/>
      <c r="X73" s="86"/>
      <c r="Y73" s="63"/>
    </row>
    <row r="74" spans="1:25" x14ac:dyDescent="0.25">
      <c r="A74" s="57">
        <v>71</v>
      </c>
      <c r="B74" s="54">
        <f t="shared" si="1"/>
        <v>12874.375</v>
      </c>
      <c r="C74" s="55" t="s">
        <v>106</v>
      </c>
      <c r="D74" s="56">
        <f t="shared" si="2"/>
        <v>13140.375</v>
      </c>
      <c r="E74" s="57"/>
      <c r="F74" s="58"/>
      <c r="G74" s="55"/>
      <c r="H74" s="56"/>
      <c r="I74" s="57">
        <v>18</v>
      </c>
      <c r="J74" s="58">
        <f>J70+7</f>
        <v>12873.5</v>
      </c>
      <c r="K74" s="55" t="s">
        <v>106</v>
      </c>
      <c r="L74" s="56">
        <f>L70+7</f>
        <v>13139.5</v>
      </c>
      <c r="M74" s="57"/>
      <c r="N74" s="58"/>
      <c r="O74" s="58"/>
      <c r="P74" s="56"/>
      <c r="Q74" s="57"/>
      <c r="R74" s="58"/>
      <c r="S74" s="55"/>
      <c r="T74" s="81"/>
      <c r="U74" s="57"/>
      <c r="V74" s="85"/>
      <c r="W74" s="55"/>
      <c r="X74" s="86"/>
      <c r="Y74" s="63" t="s">
        <v>171</v>
      </c>
    </row>
    <row r="75" spans="1:25" x14ac:dyDescent="0.25">
      <c r="A75" s="57">
        <v>72</v>
      </c>
      <c r="B75" s="54">
        <f t="shared" si="1"/>
        <v>12876.125</v>
      </c>
      <c r="C75" s="55" t="s">
        <v>106</v>
      </c>
      <c r="D75" s="56">
        <f t="shared" si="2"/>
        <v>13142.125</v>
      </c>
      <c r="E75" s="57">
        <v>36</v>
      </c>
      <c r="F75" s="58">
        <f>F73+3.5</f>
        <v>12875.25</v>
      </c>
      <c r="G75" s="55" t="s">
        <v>106</v>
      </c>
      <c r="H75" s="56">
        <f>H73+3.5</f>
        <v>13141.25</v>
      </c>
      <c r="I75" s="57"/>
      <c r="J75" s="58"/>
      <c r="K75" s="58"/>
      <c r="L75" s="56"/>
      <c r="M75" s="57"/>
      <c r="N75" s="58"/>
      <c r="O75" s="58"/>
      <c r="P75" s="56"/>
      <c r="Q75" s="57"/>
      <c r="R75" s="58"/>
      <c r="S75" s="55"/>
      <c r="T75" s="81"/>
      <c r="U75" s="549"/>
      <c r="V75" s="555"/>
      <c r="W75" s="551"/>
      <c r="X75" s="556"/>
      <c r="Y75" s="63"/>
    </row>
    <row r="76" spans="1:25" x14ac:dyDescent="0.25">
      <c r="A76" s="57">
        <v>73</v>
      </c>
      <c r="B76" s="54">
        <f t="shared" si="1"/>
        <v>12877.875</v>
      </c>
      <c r="C76" s="55" t="s">
        <v>106</v>
      </c>
      <c r="D76" s="56">
        <f t="shared" si="2"/>
        <v>13143.875</v>
      </c>
      <c r="E76" s="57"/>
      <c r="F76" s="58"/>
      <c r="G76" s="55"/>
      <c r="H76" s="56"/>
      <c r="I76" s="57"/>
      <c r="J76" s="58"/>
      <c r="K76" s="58"/>
      <c r="L76" s="56"/>
      <c r="M76" s="57"/>
      <c r="N76" s="58"/>
      <c r="O76" s="58"/>
      <c r="P76" s="56"/>
      <c r="Q76" s="57">
        <v>5</v>
      </c>
      <c r="R76" s="58">
        <f>R60+28</f>
        <v>12877</v>
      </c>
      <c r="S76" s="55" t="s">
        <v>106</v>
      </c>
      <c r="T76" s="81">
        <f>T60+28</f>
        <v>13143</v>
      </c>
      <c r="U76" s="549"/>
      <c r="V76" s="555"/>
      <c r="W76" s="551"/>
      <c r="X76" s="556"/>
      <c r="Y76" s="63"/>
    </row>
    <row r="77" spans="1:25" x14ac:dyDescent="0.25">
      <c r="A77" s="57">
        <v>74</v>
      </c>
      <c r="B77" s="54">
        <f t="shared" si="1"/>
        <v>12879.625</v>
      </c>
      <c r="C77" s="55" t="s">
        <v>106</v>
      </c>
      <c r="D77" s="56">
        <f t="shared" si="2"/>
        <v>13145.625</v>
      </c>
      <c r="E77" s="57">
        <v>37</v>
      </c>
      <c r="F77" s="58">
        <f>F75+3.5</f>
        <v>12878.75</v>
      </c>
      <c r="G77" s="55" t="s">
        <v>106</v>
      </c>
      <c r="H77" s="56">
        <f>H75+3.5</f>
        <v>13144.75</v>
      </c>
      <c r="I77" s="57"/>
      <c r="J77" s="58"/>
      <c r="K77" s="58"/>
      <c r="L77" s="56"/>
      <c r="M77" s="57"/>
      <c r="N77" s="58"/>
      <c r="O77" s="58"/>
      <c r="P77" s="56"/>
      <c r="Q77" s="57"/>
      <c r="R77" s="58"/>
      <c r="S77" s="55"/>
      <c r="T77" s="81"/>
      <c r="U77" s="549"/>
      <c r="V77" s="555"/>
      <c r="W77" s="551"/>
      <c r="X77" s="556"/>
      <c r="Y77" s="63"/>
    </row>
    <row r="78" spans="1:25" x14ac:dyDescent="0.25">
      <c r="A78" s="57">
        <v>75</v>
      </c>
      <c r="B78" s="54">
        <f t="shared" si="1"/>
        <v>12881.375</v>
      </c>
      <c r="C78" s="55" t="s">
        <v>106</v>
      </c>
      <c r="D78" s="56">
        <f t="shared" si="2"/>
        <v>13147.375</v>
      </c>
      <c r="E78" s="57"/>
      <c r="F78" s="58"/>
      <c r="G78" s="55"/>
      <c r="H78" s="56"/>
      <c r="I78" s="57">
        <v>19</v>
      </c>
      <c r="J78" s="58">
        <f>J74+7</f>
        <v>12880.5</v>
      </c>
      <c r="K78" s="55" t="s">
        <v>106</v>
      </c>
      <c r="L78" s="56">
        <f>L74+7</f>
        <v>13146.5</v>
      </c>
      <c r="M78" s="57"/>
      <c r="N78" s="58"/>
      <c r="O78" s="58"/>
      <c r="P78" s="56"/>
      <c r="Q78" s="57"/>
      <c r="R78" s="58"/>
      <c r="S78" s="55"/>
      <c r="T78" s="81"/>
      <c r="U78" s="549"/>
      <c r="V78" s="555"/>
      <c r="W78" s="551"/>
      <c r="X78" s="556"/>
      <c r="Y78" s="63"/>
    </row>
    <row r="79" spans="1:25" x14ac:dyDescent="0.25">
      <c r="A79" s="57">
        <v>76</v>
      </c>
      <c r="B79" s="54">
        <f t="shared" si="1"/>
        <v>12883.125</v>
      </c>
      <c r="C79" s="55" t="s">
        <v>106</v>
      </c>
      <c r="D79" s="56">
        <f t="shared" si="2"/>
        <v>13149.125</v>
      </c>
      <c r="E79" s="57">
        <v>38</v>
      </c>
      <c r="F79" s="58">
        <f>F77+3.5</f>
        <v>12882.25</v>
      </c>
      <c r="G79" s="55" t="s">
        <v>106</v>
      </c>
      <c r="H79" s="56">
        <f>H77+3.5</f>
        <v>13148.25</v>
      </c>
      <c r="I79" s="57"/>
      <c r="J79" s="58"/>
      <c r="K79" s="58"/>
      <c r="L79" s="56"/>
      <c r="M79" s="57"/>
      <c r="N79" s="58"/>
      <c r="O79" s="58"/>
      <c r="P79" s="56"/>
      <c r="Q79" s="57"/>
      <c r="R79" s="58"/>
      <c r="S79" s="55"/>
      <c r="T79" s="81"/>
      <c r="U79" s="549"/>
      <c r="V79" s="555"/>
      <c r="W79" s="551"/>
      <c r="X79" s="556"/>
      <c r="Y79" s="63"/>
    </row>
    <row r="80" spans="1:25" x14ac:dyDescent="0.25">
      <c r="A80" s="57">
        <v>77</v>
      </c>
      <c r="B80" s="54">
        <f t="shared" si="1"/>
        <v>12884.875</v>
      </c>
      <c r="C80" s="55" t="s">
        <v>106</v>
      </c>
      <c r="D80" s="56">
        <f t="shared" si="2"/>
        <v>13150.875</v>
      </c>
      <c r="E80" s="57"/>
      <c r="F80" s="58"/>
      <c r="G80" s="55"/>
      <c r="H80" s="56"/>
      <c r="I80" s="57"/>
      <c r="J80" s="58"/>
      <c r="K80" s="58"/>
      <c r="L80" s="56"/>
      <c r="M80" s="57">
        <v>10</v>
      </c>
      <c r="N80" s="58">
        <f>N72+14</f>
        <v>12884</v>
      </c>
      <c r="O80" s="55" t="s">
        <v>106</v>
      </c>
      <c r="P80" s="56">
        <f>P72+14</f>
        <v>13150</v>
      </c>
      <c r="Q80" s="57"/>
      <c r="R80" s="58"/>
      <c r="S80" s="55"/>
      <c r="T80" s="81"/>
      <c r="U80" s="549"/>
      <c r="V80" s="555"/>
      <c r="W80" s="551"/>
      <c r="X80" s="556"/>
      <c r="Y80" s="63"/>
    </row>
    <row r="81" spans="1:25" x14ac:dyDescent="0.25">
      <c r="A81" s="57">
        <v>78</v>
      </c>
      <c r="B81" s="54">
        <f t="shared" si="1"/>
        <v>12886.625</v>
      </c>
      <c r="C81" s="55" t="s">
        <v>106</v>
      </c>
      <c r="D81" s="56">
        <f t="shared" si="2"/>
        <v>13152.625</v>
      </c>
      <c r="E81" s="57">
        <v>39</v>
      </c>
      <c r="F81" s="58">
        <f>F79+3.5</f>
        <v>12885.75</v>
      </c>
      <c r="G81" s="55" t="s">
        <v>106</v>
      </c>
      <c r="H81" s="56">
        <f>H79+3.5</f>
        <v>13151.75</v>
      </c>
      <c r="I81" s="57"/>
      <c r="J81" s="58"/>
      <c r="K81" s="58"/>
      <c r="L81" s="56"/>
      <c r="M81" s="57"/>
      <c r="N81" s="58"/>
      <c r="O81" s="58"/>
      <c r="P81" s="56"/>
      <c r="Q81" s="57"/>
      <c r="R81" s="58"/>
      <c r="S81" s="55"/>
      <c r="T81" s="81"/>
      <c r="U81" s="549"/>
      <c r="V81" s="555"/>
      <c r="W81" s="551"/>
      <c r="X81" s="556"/>
      <c r="Y81" s="63"/>
    </row>
    <row r="82" spans="1:25" x14ac:dyDescent="0.25">
      <c r="A82" s="57">
        <v>79</v>
      </c>
      <c r="B82" s="54">
        <f t="shared" si="1"/>
        <v>12888.375</v>
      </c>
      <c r="C82" s="55" t="s">
        <v>106</v>
      </c>
      <c r="D82" s="56">
        <f t="shared" si="2"/>
        <v>13154.375</v>
      </c>
      <c r="E82" s="57"/>
      <c r="F82" s="58"/>
      <c r="G82" s="55"/>
      <c r="H82" s="56"/>
      <c r="I82" s="57">
        <v>20</v>
      </c>
      <c r="J82" s="58">
        <f>J78+7</f>
        <v>12887.5</v>
      </c>
      <c r="K82" s="55" t="s">
        <v>106</v>
      </c>
      <c r="L82" s="56">
        <f>L78+7</f>
        <v>13153.5</v>
      </c>
      <c r="M82" s="57"/>
      <c r="N82" s="58"/>
      <c r="O82" s="58"/>
      <c r="P82" s="56"/>
      <c r="Q82" s="57"/>
      <c r="R82" s="58"/>
      <c r="S82" s="55"/>
      <c r="T82" s="81"/>
      <c r="U82" s="549"/>
      <c r="V82" s="555"/>
      <c r="W82" s="551"/>
      <c r="X82" s="556"/>
      <c r="Y82" s="63"/>
    </row>
    <row r="83" spans="1:25" ht="15.75" thickBot="1" x14ac:dyDescent="0.3">
      <c r="A83" s="67">
        <v>80</v>
      </c>
      <c r="B83" s="44">
        <f t="shared" si="1"/>
        <v>12890.125</v>
      </c>
      <c r="C83" s="65" t="s">
        <v>106</v>
      </c>
      <c r="D83" s="66">
        <f t="shared" si="2"/>
        <v>13156.125</v>
      </c>
      <c r="E83" s="67">
        <v>40</v>
      </c>
      <c r="F83" s="68">
        <f>F81+3.5</f>
        <v>12889.25</v>
      </c>
      <c r="G83" s="65" t="s">
        <v>106</v>
      </c>
      <c r="H83" s="66">
        <f>H81+3.5</f>
        <v>13155.25</v>
      </c>
      <c r="I83" s="67"/>
      <c r="J83" s="68"/>
      <c r="K83" s="68"/>
      <c r="L83" s="66"/>
      <c r="M83" s="67"/>
      <c r="N83" s="68"/>
      <c r="O83" s="68"/>
      <c r="P83" s="66"/>
      <c r="Q83" s="67"/>
      <c r="R83" s="68"/>
      <c r="S83" s="65"/>
      <c r="T83" s="87"/>
      <c r="U83" s="562">
        <v>5</v>
      </c>
      <c r="V83" s="568">
        <v>12891</v>
      </c>
      <c r="W83" s="564" t="s">
        <v>106</v>
      </c>
      <c r="X83" s="569">
        <v>13157</v>
      </c>
      <c r="Y83" s="73"/>
    </row>
    <row r="84" spans="1:25" x14ac:dyDescent="0.25">
      <c r="A84" s="540">
        <v>81</v>
      </c>
      <c r="B84" s="541">
        <f t="shared" ref="B84:B131" si="3">B83+1.75</f>
        <v>12891.875</v>
      </c>
      <c r="C84" s="542" t="s">
        <v>106</v>
      </c>
      <c r="D84" s="543">
        <f t="shared" si="2"/>
        <v>13157.875</v>
      </c>
      <c r="E84" s="540"/>
      <c r="F84" s="544"/>
      <c r="G84" s="542"/>
      <c r="H84" s="543"/>
      <c r="I84" s="540"/>
      <c r="J84" s="544"/>
      <c r="K84" s="544"/>
      <c r="L84" s="543"/>
      <c r="M84" s="540"/>
      <c r="N84" s="544"/>
      <c r="O84" s="544"/>
      <c r="P84" s="543"/>
      <c r="Q84" s="540"/>
      <c r="R84" s="544"/>
      <c r="S84" s="542"/>
      <c r="T84" s="545"/>
      <c r="U84" s="540"/>
      <c r="V84" s="546"/>
      <c r="W84" s="542"/>
      <c r="X84" s="547"/>
      <c r="Y84" s="548"/>
    </row>
    <row r="85" spans="1:25" x14ac:dyDescent="0.25">
      <c r="A85" s="549">
        <v>82</v>
      </c>
      <c r="B85" s="572">
        <f t="shared" si="3"/>
        <v>12893.625</v>
      </c>
      <c r="C85" s="551" t="s">
        <v>106</v>
      </c>
      <c r="D85" s="552">
        <f t="shared" si="2"/>
        <v>13159.625</v>
      </c>
      <c r="E85" s="549">
        <v>41</v>
      </c>
      <c r="F85" s="553">
        <f>F83+3.5</f>
        <v>12892.75</v>
      </c>
      <c r="G85" s="551" t="s">
        <v>106</v>
      </c>
      <c r="H85" s="552">
        <f>H83+3.5</f>
        <v>13158.75</v>
      </c>
      <c r="I85" s="549"/>
      <c r="J85" s="553"/>
      <c r="K85" s="553"/>
      <c r="L85" s="552"/>
      <c r="M85" s="549"/>
      <c r="N85" s="553"/>
      <c r="O85" s="553"/>
      <c r="P85" s="552"/>
      <c r="Q85" s="549"/>
      <c r="R85" s="553"/>
      <c r="S85" s="551"/>
      <c r="T85" s="554"/>
      <c r="U85" s="549"/>
      <c r="V85" s="555"/>
      <c r="W85" s="551"/>
      <c r="X85" s="556"/>
      <c r="Y85" s="557"/>
    </row>
    <row r="86" spans="1:25" x14ac:dyDescent="0.25">
      <c r="A86" s="549">
        <v>83</v>
      </c>
      <c r="B86" s="572">
        <f t="shared" si="3"/>
        <v>12895.375</v>
      </c>
      <c r="C86" s="551" t="s">
        <v>106</v>
      </c>
      <c r="D86" s="552">
        <f t="shared" si="2"/>
        <v>13161.375</v>
      </c>
      <c r="E86" s="549"/>
      <c r="F86" s="553"/>
      <c r="G86" s="551"/>
      <c r="H86" s="552"/>
      <c r="I86" s="549">
        <v>21</v>
      </c>
      <c r="J86" s="553">
        <f>J82+7</f>
        <v>12894.5</v>
      </c>
      <c r="K86" s="551" t="s">
        <v>106</v>
      </c>
      <c r="L86" s="552">
        <f>L82+7</f>
        <v>13160.5</v>
      </c>
      <c r="M86" s="549"/>
      <c r="N86" s="553"/>
      <c r="O86" s="553"/>
      <c r="P86" s="552"/>
      <c r="Q86" s="549"/>
      <c r="R86" s="553"/>
      <c r="S86" s="551"/>
      <c r="T86" s="554"/>
      <c r="U86" s="549"/>
      <c r="V86" s="555"/>
      <c r="W86" s="551"/>
      <c r="X86" s="556"/>
      <c r="Y86" s="557"/>
    </row>
    <row r="87" spans="1:25" x14ac:dyDescent="0.25">
      <c r="A87" s="549">
        <v>84</v>
      </c>
      <c r="B87" s="572">
        <f t="shared" si="3"/>
        <v>12897.125</v>
      </c>
      <c r="C87" s="551" t="s">
        <v>106</v>
      </c>
      <c r="D87" s="552">
        <f t="shared" si="2"/>
        <v>13163.125</v>
      </c>
      <c r="E87" s="549">
        <v>42</v>
      </c>
      <c r="F87" s="553">
        <f>F85+3.5</f>
        <v>12896.25</v>
      </c>
      <c r="G87" s="551" t="s">
        <v>106</v>
      </c>
      <c r="H87" s="552">
        <f>H85+3.5</f>
        <v>13162.25</v>
      </c>
      <c r="I87" s="549"/>
      <c r="J87" s="553"/>
      <c r="K87" s="553"/>
      <c r="L87" s="552"/>
      <c r="M87" s="549"/>
      <c r="N87" s="553"/>
      <c r="O87" s="553"/>
      <c r="P87" s="552"/>
      <c r="Q87" s="549"/>
      <c r="R87" s="553"/>
      <c r="S87" s="551"/>
      <c r="T87" s="554"/>
      <c r="U87" s="549"/>
      <c r="V87" s="555"/>
      <c r="W87" s="551"/>
      <c r="X87" s="556"/>
      <c r="Y87" s="557"/>
    </row>
    <row r="88" spans="1:25" x14ac:dyDescent="0.25">
      <c r="A88" s="549">
        <v>85</v>
      </c>
      <c r="B88" s="572">
        <f t="shared" si="3"/>
        <v>12898.875</v>
      </c>
      <c r="C88" s="551" t="s">
        <v>106</v>
      </c>
      <c r="D88" s="552">
        <f t="shared" si="2"/>
        <v>13164.875</v>
      </c>
      <c r="E88" s="549"/>
      <c r="F88" s="553"/>
      <c r="G88" s="551"/>
      <c r="H88" s="552"/>
      <c r="I88" s="549"/>
      <c r="J88" s="553"/>
      <c r="K88" s="553"/>
      <c r="L88" s="552"/>
      <c r="M88" s="549">
        <v>11</v>
      </c>
      <c r="N88" s="553">
        <f>N80+14</f>
        <v>12898</v>
      </c>
      <c r="O88" s="551" t="s">
        <v>106</v>
      </c>
      <c r="P88" s="552">
        <f>P80+14</f>
        <v>13164</v>
      </c>
      <c r="Q88" s="549"/>
      <c r="R88" s="553"/>
      <c r="S88" s="551"/>
      <c r="T88" s="554"/>
      <c r="U88" s="549"/>
      <c r="V88" s="555"/>
      <c r="W88" s="551"/>
      <c r="X88" s="556"/>
      <c r="Y88" s="557"/>
    </row>
    <row r="89" spans="1:25" x14ac:dyDescent="0.25">
      <c r="A89" s="549">
        <v>86</v>
      </c>
      <c r="B89" s="572">
        <f t="shared" si="3"/>
        <v>12900.625</v>
      </c>
      <c r="C89" s="551" t="s">
        <v>106</v>
      </c>
      <c r="D89" s="552">
        <f t="shared" si="2"/>
        <v>13166.625</v>
      </c>
      <c r="E89" s="549">
        <v>43</v>
      </c>
      <c r="F89" s="553">
        <f>F87+3.5</f>
        <v>12899.75</v>
      </c>
      <c r="G89" s="551" t="s">
        <v>106</v>
      </c>
      <c r="H89" s="552">
        <f>H87+3.5</f>
        <v>13165.75</v>
      </c>
      <c r="I89" s="549"/>
      <c r="J89" s="553"/>
      <c r="K89" s="553"/>
      <c r="L89" s="552"/>
      <c r="M89" s="549"/>
      <c r="N89" s="553"/>
      <c r="O89" s="553"/>
      <c r="P89" s="552"/>
      <c r="Q89" s="549"/>
      <c r="R89" s="553"/>
      <c r="S89" s="551"/>
      <c r="T89" s="554"/>
      <c r="U89" s="549"/>
      <c r="V89" s="555"/>
      <c r="W89" s="551"/>
      <c r="X89" s="556"/>
      <c r="Y89" s="557"/>
    </row>
    <row r="90" spans="1:25" x14ac:dyDescent="0.25">
      <c r="A90" s="549">
        <v>87</v>
      </c>
      <c r="B90" s="572">
        <f t="shared" si="3"/>
        <v>12902.375</v>
      </c>
      <c r="C90" s="551" t="s">
        <v>106</v>
      </c>
      <c r="D90" s="552">
        <f t="shared" si="2"/>
        <v>13168.375</v>
      </c>
      <c r="E90" s="549"/>
      <c r="F90" s="553"/>
      <c r="G90" s="551"/>
      <c r="H90" s="552"/>
      <c r="I90" s="549">
        <v>22</v>
      </c>
      <c r="J90" s="553">
        <f>J86+7</f>
        <v>12901.5</v>
      </c>
      <c r="K90" s="551" t="s">
        <v>106</v>
      </c>
      <c r="L90" s="552">
        <f>L86+7</f>
        <v>13167.5</v>
      </c>
      <c r="M90" s="549"/>
      <c r="N90" s="553"/>
      <c r="O90" s="553"/>
      <c r="P90" s="552"/>
      <c r="Q90" s="549"/>
      <c r="R90" s="553"/>
      <c r="S90" s="551"/>
      <c r="T90" s="554"/>
      <c r="U90" s="549"/>
      <c r="V90" s="555"/>
      <c r="W90" s="551"/>
      <c r="X90" s="556"/>
      <c r="Y90" s="557"/>
    </row>
    <row r="91" spans="1:25" x14ac:dyDescent="0.25">
      <c r="A91" s="549">
        <v>88</v>
      </c>
      <c r="B91" s="572">
        <f t="shared" si="3"/>
        <v>12904.125</v>
      </c>
      <c r="C91" s="551" t="s">
        <v>106</v>
      </c>
      <c r="D91" s="552">
        <f t="shared" si="2"/>
        <v>13170.125</v>
      </c>
      <c r="E91" s="549">
        <v>44</v>
      </c>
      <c r="F91" s="553">
        <f>F89+3.5</f>
        <v>12903.25</v>
      </c>
      <c r="G91" s="551" t="s">
        <v>106</v>
      </c>
      <c r="H91" s="552">
        <f>H89+3.5</f>
        <v>13169.25</v>
      </c>
      <c r="I91" s="549"/>
      <c r="J91" s="553"/>
      <c r="K91" s="553"/>
      <c r="L91" s="552"/>
      <c r="M91" s="549"/>
      <c r="N91" s="553"/>
      <c r="O91" s="553"/>
      <c r="P91" s="552"/>
      <c r="Q91" s="549"/>
      <c r="R91" s="553"/>
      <c r="S91" s="551"/>
      <c r="T91" s="554"/>
      <c r="U91" s="549"/>
      <c r="V91" s="555"/>
      <c r="W91" s="551"/>
      <c r="X91" s="556"/>
      <c r="Y91" s="557"/>
    </row>
    <row r="92" spans="1:25" x14ac:dyDescent="0.25">
      <c r="A92" s="549">
        <v>89</v>
      </c>
      <c r="B92" s="572">
        <f t="shared" si="3"/>
        <v>12905.875</v>
      </c>
      <c r="C92" s="551" t="s">
        <v>106</v>
      </c>
      <c r="D92" s="552">
        <f t="shared" si="2"/>
        <v>13171.875</v>
      </c>
      <c r="E92" s="549"/>
      <c r="F92" s="553"/>
      <c r="G92" s="551"/>
      <c r="H92" s="552"/>
      <c r="I92" s="549"/>
      <c r="J92" s="553"/>
      <c r="K92" s="553"/>
      <c r="L92" s="552"/>
      <c r="M92" s="549"/>
      <c r="N92" s="553"/>
      <c r="O92" s="553"/>
      <c r="P92" s="552"/>
      <c r="Q92" s="549">
        <v>6</v>
      </c>
      <c r="R92" s="553">
        <f>R76+28</f>
        <v>12905</v>
      </c>
      <c r="S92" s="551" t="s">
        <v>106</v>
      </c>
      <c r="T92" s="554">
        <f>T76+28</f>
        <v>13171</v>
      </c>
      <c r="U92" s="549"/>
      <c r="V92" s="555"/>
      <c r="W92" s="551"/>
      <c r="X92" s="556"/>
      <c r="Y92" s="557"/>
    </row>
    <row r="93" spans="1:25" x14ac:dyDescent="0.25">
      <c r="A93" s="549">
        <v>90</v>
      </c>
      <c r="B93" s="572">
        <f t="shared" si="3"/>
        <v>12907.625</v>
      </c>
      <c r="C93" s="551" t="s">
        <v>106</v>
      </c>
      <c r="D93" s="552">
        <f t="shared" si="2"/>
        <v>13173.625</v>
      </c>
      <c r="E93" s="549">
        <v>45</v>
      </c>
      <c r="F93" s="553">
        <f>F91+3.5</f>
        <v>12906.75</v>
      </c>
      <c r="G93" s="551" t="s">
        <v>106</v>
      </c>
      <c r="H93" s="552">
        <f>H91+3.5</f>
        <v>13172.75</v>
      </c>
      <c r="I93" s="549"/>
      <c r="J93" s="553"/>
      <c r="K93" s="553"/>
      <c r="L93" s="552"/>
      <c r="M93" s="549"/>
      <c r="N93" s="553"/>
      <c r="O93" s="553"/>
      <c r="P93" s="552"/>
      <c r="Q93" s="549"/>
      <c r="R93" s="553"/>
      <c r="S93" s="551"/>
      <c r="T93" s="554"/>
      <c r="U93" s="549"/>
      <c r="V93" s="555"/>
      <c r="W93" s="551"/>
      <c r="X93" s="556"/>
      <c r="Y93" s="557"/>
    </row>
    <row r="94" spans="1:25" x14ac:dyDescent="0.25">
      <c r="A94" s="549">
        <v>91</v>
      </c>
      <c r="B94" s="572">
        <f t="shared" si="3"/>
        <v>12909.375</v>
      </c>
      <c r="C94" s="551" t="s">
        <v>106</v>
      </c>
      <c r="D94" s="552">
        <f t="shared" si="2"/>
        <v>13175.375</v>
      </c>
      <c r="E94" s="549"/>
      <c r="F94" s="553"/>
      <c r="G94" s="551"/>
      <c r="H94" s="552"/>
      <c r="I94" s="549">
        <v>23</v>
      </c>
      <c r="J94" s="553">
        <f>J90+7</f>
        <v>12908.5</v>
      </c>
      <c r="K94" s="551" t="s">
        <v>106</v>
      </c>
      <c r="L94" s="552">
        <f>L90+7</f>
        <v>13174.5</v>
      </c>
      <c r="M94" s="549"/>
      <c r="N94" s="553"/>
      <c r="O94" s="553"/>
      <c r="P94" s="552"/>
      <c r="Q94" s="549"/>
      <c r="R94" s="553"/>
      <c r="S94" s="551"/>
      <c r="T94" s="554"/>
      <c r="U94" s="549"/>
      <c r="V94" s="555"/>
      <c r="W94" s="551"/>
      <c r="X94" s="556"/>
      <c r="Y94" s="557"/>
    </row>
    <row r="95" spans="1:25" x14ac:dyDescent="0.25">
      <c r="A95" s="549">
        <v>92</v>
      </c>
      <c r="B95" s="572">
        <f t="shared" si="3"/>
        <v>12911.125</v>
      </c>
      <c r="C95" s="551" t="s">
        <v>106</v>
      </c>
      <c r="D95" s="552">
        <f t="shared" si="2"/>
        <v>13177.125</v>
      </c>
      <c r="E95" s="549">
        <v>46</v>
      </c>
      <c r="F95" s="553">
        <f>F93+3.5</f>
        <v>12910.25</v>
      </c>
      <c r="G95" s="551" t="s">
        <v>106</v>
      </c>
      <c r="H95" s="552">
        <f>H93+3.5</f>
        <v>13176.25</v>
      </c>
      <c r="I95" s="549"/>
      <c r="J95" s="553"/>
      <c r="K95" s="553"/>
      <c r="L95" s="552"/>
      <c r="M95" s="549"/>
      <c r="N95" s="553"/>
      <c r="O95" s="553"/>
      <c r="P95" s="552"/>
      <c r="Q95" s="549"/>
      <c r="R95" s="553"/>
      <c r="S95" s="551"/>
      <c r="T95" s="554"/>
      <c r="U95" s="549"/>
      <c r="V95" s="555"/>
      <c r="W95" s="551"/>
      <c r="X95" s="556"/>
      <c r="Y95" s="557"/>
    </row>
    <row r="96" spans="1:25" x14ac:dyDescent="0.25">
      <c r="A96" s="549">
        <v>93</v>
      </c>
      <c r="B96" s="572">
        <f t="shared" si="3"/>
        <v>12912.875</v>
      </c>
      <c r="C96" s="551" t="s">
        <v>106</v>
      </c>
      <c r="D96" s="552">
        <f t="shared" si="2"/>
        <v>13178.875</v>
      </c>
      <c r="E96" s="549"/>
      <c r="F96" s="553"/>
      <c r="G96" s="551"/>
      <c r="H96" s="552"/>
      <c r="I96" s="549"/>
      <c r="J96" s="553"/>
      <c r="K96" s="553"/>
      <c r="L96" s="552"/>
      <c r="M96" s="549">
        <v>12</v>
      </c>
      <c r="N96" s="553">
        <f>N88+14</f>
        <v>12912</v>
      </c>
      <c r="O96" s="551" t="s">
        <v>106</v>
      </c>
      <c r="P96" s="552">
        <f>P88+14</f>
        <v>13178</v>
      </c>
      <c r="Q96" s="549"/>
      <c r="R96" s="553"/>
      <c r="S96" s="551"/>
      <c r="T96" s="554"/>
      <c r="U96" s="549"/>
      <c r="V96" s="555"/>
      <c r="W96" s="551"/>
      <c r="X96" s="556"/>
      <c r="Y96" s="557"/>
    </row>
    <row r="97" spans="1:25" x14ac:dyDescent="0.25">
      <c r="A97" s="549">
        <v>94</v>
      </c>
      <c r="B97" s="572">
        <f t="shared" si="3"/>
        <v>12914.625</v>
      </c>
      <c r="C97" s="551" t="s">
        <v>106</v>
      </c>
      <c r="D97" s="552">
        <f t="shared" si="2"/>
        <v>13180.625</v>
      </c>
      <c r="E97" s="549">
        <v>47</v>
      </c>
      <c r="F97" s="553">
        <f>F95+3.5</f>
        <v>12913.75</v>
      </c>
      <c r="G97" s="551" t="s">
        <v>106</v>
      </c>
      <c r="H97" s="552">
        <f>H95+3.5</f>
        <v>13179.75</v>
      </c>
      <c r="I97" s="549"/>
      <c r="J97" s="553"/>
      <c r="K97" s="553"/>
      <c r="L97" s="552"/>
      <c r="M97" s="549"/>
      <c r="N97" s="553"/>
      <c r="O97" s="553"/>
      <c r="P97" s="552"/>
      <c r="Q97" s="549"/>
      <c r="R97" s="553"/>
      <c r="S97" s="551"/>
      <c r="T97" s="554"/>
      <c r="U97" s="549"/>
      <c r="V97" s="555"/>
      <c r="W97" s="551"/>
      <c r="X97" s="556"/>
      <c r="Y97" s="557"/>
    </row>
    <row r="98" spans="1:25" x14ac:dyDescent="0.25">
      <c r="A98" s="549">
        <v>95</v>
      </c>
      <c r="B98" s="572">
        <f t="shared" si="3"/>
        <v>12916.375</v>
      </c>
      <c r="C98" s="551" t="s">
        <v>106</v>
      </c>
      <c r="D98" s="552">
        <f t="shared" si="2"/>
        <v>13182.375</v>
      </c>
      <c r="E98" s="549"/>
      <c r="F98" s="553"/>
      <c r="G98" s="551"/>
      <c r="H98" s="552"/>
      <c r="I98" s="549">
        <v>24</v>
      </c>
      <c r="J98" s="553">
        <f>J94+7</f>
        <v>12915.5</v>
      </c>
      <c r="K98" s="551" t="s">
        <v>106</v>
      </c>
      <c r="L98" s="552">
        <f>L94+7</f>
        <v>13181.5</v>
      </c>
      <c r="M98" s="549"/>
      <c r="N98" s="553"/>
      <c r="O98" s="553"/>
      <c r="P98" s="552"/>
      <c r="Q98" s="549"/>
      <c r="R98" s="553"/>
      <c r="S98" s="551"/>
      <c r="T98" s="554"/>
      <c r="U98" s="549"/>
      <c r="V98" s="555"/>
      <c r="W98" s="551"/>
      <c r="X98" s="556"/>
      <c r="Y98" s="557" t="s">
        <v>156</v>
      </c>
    </row>
    <row r="99" spans="1:25" x14ac:dyDescent="0.25">
      <c r="A99" s="562">
        <v>96</v>
      </c>
      <c r="B99" s="571">
        <f t="shared" si="3"/>
        <v>12918.125</v>
      </c>
      <c r="C99" s="564" t="s">
        <v>106</v>
      </c>
      <c r="D99" s="565">
        <f t="shared" si="2"/>
        <v>13184.125</v>
      </c>
      <c r="E99" s="562">
        <v>48</v>
      </c>
      <c r="F99" s="566">
        <f>F97+3.5</f>
        <v>12917.25</v>
      </c>
      <c r="G99" s="564" t="s">
        <v>106</v>
      </c>
      <c r="H99" s="565">
        <f>H97+3.5</f>
        <v>13183.25</v>
      </c>
      <c r="I99" s="562"/>
      <c r="J99" s="566"/>
      <c r="K99" s="566"/>
      <c r="L99" s="565"/>
      <c r="M99" s="562"/>
      <c r="N99" s="566"/>
      <c r="O99" s="566"/>
      <c r="P99" s="565"/>
      <c r="Q99" s="562"/>
      <c r="R99" s="566"/>
      <c r="S99" s="564"/>
      <c r="T99" s="567"/>
      <c r="U99" s="562">
        <v>6</v>
      </c>
      <c r="V99" s="568">
        <v>12919</v>
      </c>
      <c r="W99" s="564" t="s">
        <v>106</v>
      </c>
      <c r="X99" s="569">
        <v>13185</v>
      </c>
      <c r="Y99" s="561"/>
    </row>
    <row r="100" spans="1:25" x14ac:dyDescent="0.25">
      <c r="A100" s="540">
        <v>97</v>
      </c>
      <c r="B100" s="541">
        <f t="shared" si="3"/>
        <v>12919.875</v>
      </c>
      <c r="C100" s="542" t="s">
        <v>106</v>
      </c>
      <c r="D100" s="543">
        <f t="shared" si="2"/>
        <v>13185.875</v>
      </c>
      <c r="E100" s="540"/>
      <c r="F100" s="544"/>
      <c r="G100" s="542"/>
      <c r="H100" s="543"/>
      <c r="I100" s="540"/>
      <c r="J100" s="544"/>
      <c r="K100" s="544"/>
      <c r="L100" s="543"/>
      <c r="M100" s="540"/>
      <c r="N100" s="544"/>
      <c r="O100" s="544"/>
      <c r="P100" s="543"/>
      <c r="Q100" s="540"/>
      <c r="R100" s="544"/>
      <c r="S100" s="542"/>
      <c r="T100" s="545"/>
      <c r="U100" s="540"/>
      <c r="V100" s="546"/>
      <c r="W100" s="542"/>
      <c r="X100" s="547"/>
      <c r="Y100" s="557" t="s">
        <v>172</v>
      </c>
    </row>
    <row r="101" spans="1:25" x14ac:dyDescent="0.25">
      <c r="A101" s="549">
        <v>98</v>
      </c>
      <c r="B101" s="572">
        <f t="shared" si="3"/>
        <v>12921.625</v>
      </c>
      <c r="C101" s="551" t="s">
        <v>106</v>
      </c>
      <c r="D101" s="552">
        <f t="shared" si="2"/>
        <v>13187.625</v>
      </c>
      <c r="E101" s="549">
        <v>49</v>
      </c>
      <c r="F101" s="553">
        <f>F99+3.5</f>
        <v>12920.75</v>
      </c>
      <c r="G101" s="551" t="s">
        <v>106</v>
      </c>
      <c r="H101" s="552">
        <f>H99+3.5</f>
        <v>13186.75</v>
      </c>
      <c r="I101" s="549"/>
      <c r="J101" s="553"/>
      <c r="K101" s="553"/>
      <c r="L101" s="552"/>
      <c r="M101" s="549"/>
      <c r="N101" s="553"/>
      <c r="O101" s="553"/>
      <c r="P101" s="552"/>
      <c r="Q101" s="549"/>
      <c r="R101" s="553"/>
      <c r="S101" s="551"/>
      <c r="T101" s="554"/>
      <c r="U101" s="549"/>
      <c r="V101" s="555"/>
      <c r="W101" s="551"/>
      <c r="X101" s="556"/>
      <c r="Y101" s="557"/>
    </row>
    <row r="102" spans="1:25" x14ac:dyDescent="0.25">
      <c r="A102" s="549">
        <v>99</v>
      </c>
      <c r="B102" s="572">
        <f t="shared" si="3"/>
        <v>12923.375</v>
      </c>
      <c r="C102" s="551" t="s">
        <v>106</v>
      </c>
      <c r="D102" s="552">
        <f t="shared" si="2"/>
        <v>13189.375</v>
      </c>
      <c r="E102" s="549"/>
      <c r="F102" s="553"/>
      <c r="G102" s="551"/>
      <c r="H102" s="552"/>
      <c r="I102" s="549">
        <v>25</v>
      </c>
      <c r="J102" s="553">
        <f>J98+7</f>
        <v>12922.5</v>
      </c>
      <c r="K102" s="551" t="s">
        <v>106</v>
      </c>
      <c r="L102" s="552">
        <f>L98+7</f>
        <v>13188.5</v>
      </c>
      <c r="M102" s="549"/>
      <c r="N102" s="553"/>
      <c r="O102" s="553"/>
      <c r="P102" s="552"/>
      <c r="Q102" s="549"/>
      <c r="R102" s="553"/>
      <c r="S102" s="551"/>
      <c r="T102" s="554"/>
      <c r="U102" s="549"/>
      <c r="V102" s="555"/>
      <c r="W102" s="551"/>
      <c r="X102" s="556"/>
      <c r="Y102" s="557"/>
    </row>
    <row r="103" spans="1:25" x14ac:dyDescent="0.25">
      <c r="A103" s="549">
        <v>100</v>
      </c>
      <c r="B103" s="572">
        <f t="shared" si="3"/>
        <v>12925.125</v>
      </c>
      <c r="C103" s="551" t="s">
        <v>106</v>
      </c>
      <c r="D103" s="552">
        <f t="shared" si="2"/>
        <v>13191.125</v>
      </c>
      <c r="E103" s="549">
        <v>50</v>
      </c>
      <c r="F103" s="553">
        <f>F101+3.5</f>
        <v>12924.25</v>
      </c>
      <c r="G103" s="551" t="s">
        <v>106</v>
      </c>
      <c r="H103" s="552">
        <f>H101+3.5</f>
        <v>13190.25</v>
      </c>
      <c r="I103" s="549"/>
      <c r="J103" s="553"/>
      <c r="K103" s="553"/>
      <c r="L103" s="552"/>
      <c r="M103" s="549"/>
      <c r="N103" s="553"/>
      <c r="O103" s="553"/>
      <c r="P103" s="552"/>
      <c r="Q103" s="549"/>
      <c r="R103" s="553"/>
      <c r="S103" s="551"/>
      <c r="T103" s="554"/>
      <c r="U103" s="549"/>
      <c r="V103" s="555"/>
      <c r="W103" s="551"/>
      <c r="X103" s="556"/>
      <c r="Y103" s="557"/>
    </row>
    <row r="104" spans="1:25" x14ac:dyDescent="0.25">
      <c r="A104" s="549">
        <v>101</v>
      </c>
      <c r="B104" s="572">
        <f t="shared" si="3"/>
        <v>12926.875</v>
      </c>
      <c r="C104" s="551" t="s">
        <v>106</v>
      </c>
      <c r="D104" s="552">
        <f t="shared" si="2"/>
        <v>13192.875</v>
      </c>
      <c r="E104" s="549"/>
      <c r="F104" s="553"/>
      <c r="G104" s="551"/>
      <c r="H104" s="552"/>
      <c r="I104" s="549"/>
      <c r="J104" s="553"/>
      <c r="K104" s="553"/>
      <c r="L104" s="552"/>
      <c r="M104" s="549">
        <v>13</v>
      </c>
      <c r="N104" s="553">
        <f>N96+14</f>
        <v>12926</v>
      </c>
      <c r="O104" s="551" t="s">
        <v>106</v>
      </c>
      <c r="P104" s="552">
        <f>P96+14</f>
        <v>13192</v>
      </c>
      <c r="Q104" s="549"/>
      <c r="R104" s="553"/>
      <c r="S104" s="551"/>
      <c r="T104" s="554"/>
      <c r="U104" s="549"/>
      <c r="V104" s="555"/>
      <c r="W104" s="551"/>
      <c r="X104" s="556"/>
      <c r="Y104" s="557"/>
    </row>
    <row r="105" spans="1:25" x14ac:dyDescent="0.25">
      <c r="A105" s="549">
        <v>102</v>
      </c>
      <c r="B105" s="572">
        <f t="shared" si="3"/>
        <v>12928.625</v>
      </c>
      <c r="C105" s="551" t="s">
        <v>106</v>
      </c>
      <c r="D105" s="552">
        <f t="shared" si="2"/>
        <v>13194.625</v>
      </c>
      <c r="E105" s="549">
        <v>51</v>
      </c>
      <c r="F105" s="553">
        <f>F103+3.5</f>
        <v>12927.75</v>
      </c>
      <c r="G105" s="551" t="s">
        <v>106</v>
      </c>
      <c r="H105" s="552">
        <f>H103+3.5</f>
        <v>13193.75</v>
      </c>
      <c r="I105" s="549"/>
      <c r="J105" s="553"/>
      <c r="K105" s="553"/>
      <c r="L105" s="552"/>
      <c r="M105" s="549"/>
      <c r="N105" s="553"/>
      <c r="O105" s="553"/>
      <c r="P105" s="552"/>
      <c r="Q105" s="549"/>
      <c r="R105" s="553"/>
      <c r="S105" s="551"/>
      <c r="T105" s="554"/>
      <c r="U105" s="549"/>
      <c r="V105" s="555"/>
      <c r="W105" s="551"/>
      <c r="X105" s="556"/>
      <c r="Y105" s="561"/>
    </row>
    <row r="106" spans="1:25" x14ac:dyDescent="0.25">
      <c r="A106" s="549">
        <v>103</v>
      </c>
      <c r="B106" s="572">
        <f t="shared" si="3"/>
        <v>12930.375</v>
      </c>
      <c r="C106" s="551" t="s">
        <v>106</v>
      </c>
      <c r="D106" s="552">
        <f t="shared" si="2"/>
        <v>13196.375</v>
      </c>
      <c r="E106" s="549"/>
      <c r="F106" s="553"/>
      <c r="G106" s="551"/>
      <c r="H106" s="552"/>
      <c r="I106" s="549">
        <v>26</v>
      </c>
      <c r="J106" s="553">
        <f>J102+7</f>
        <v>12929.5</v>
      </c>
      <c r="K106" s="551" t="s">
        <v>106</v>
      </c>
      <c r="L106" s="552">
        <f>L102+7</f>
        <v>13195.5</v>
      </c>
      <c r="M106" s="549"/>
      <c r="N106" s="553"/>
      <c r="O106" s="553"/>
      <c r="P106" s="552"/>
      <c r="Q106" s="549"/>
      <c r="R106" s="553"/>
      <c r="S106" s="551"/>
      <c r="T106" s="554"/>
      <c r="U106" s="549"/>
      <c r="V106" s="555"/>
      <c r="W106" s="551"/>
      <c r="X106" s="556"/>
      <c r="Y106" s="561"/>
    </row>
    <row r="107" spans="1:25" x14ac:dyDescent="0.25">
      <c r="A107" s="549">
        <v>104</v>
      </c>
      <c r="B107" s="572">
        <f t="shared" si="3"/>
        <v>12932.125</v>
      </c>
      <c r="C107" s="551" t="s">
        <v>106</v>
      </c>
      <c r="D107" s="552">
        <f t="shared" si="2"/>
        <v>13198.125</v>
      </c>
      <c r="E107" s="549">
        <v>52</v>
      </c>
      <c r="F107" s="553">
        <f>F105+3.5</f>
        <v>12931.25</v>
      </c>
      <c r="G107" s="551" t="s">
        <v>106</v>
      </c>
      <c r="H107" s="552">
        <f>H105+3.5</f>
        <v>13197.25</v>
      </c>
      <c r="I107" s="549"/>
      <c r="J107" s="553"/>
      <c r="K107" s="553"/>
      <c r="L107" s="552"/>
      <c r="M107" s="549"/>
      <c r="N107" s="553"/>
      <c r="O107" s="553"/>
      <c r="P107" s="552"/>
      <c r="Q107" s="549"/>
      <c r="R107" s="553"/>
      <c r="S107" s="551"/>
      <c r="T107" s="554"/>
      <c r="U107" s="549"/>
      <c r="V107" s="555"/>
      <c r="W107" s="551"/>
      <c r="X107" s="556"/>
      <c r="Y107" s="557"/>
    </row>
    <row r="108" spans="1:25" x14ac:dyDescent="0.25">
      <c r="A108" s="549">
        <v>105</v>
      </c>
      <c r="B108" s="572">
        <f t="shared" si="3"/>
        <v>12933.875</v>
      </c>
      <c r="C108" s="551" t="s">
        <v>106</v>
      </c>
      <c r="D108" s="552">
        <f t="shared" si="2"/>
        <v>13199.875</v>
      </c>
      <c r="E108" s="549"/>
      <c r="F108" s="553"/>
      <c r="G108" s="551"/>
      <c r="H108" s="552"/>
      <c r="I108" s="549"/>
      <c r="J108" s="553"/>
      <c r="K108" s="553"/>
      <c r="L108" s="552"/>
      <c r="M108" s="549"/>
      <c r="N108" s="553"/>
      <c r="O108" s="553"/>
      <c r="P108" s="552"/>
      <c r="Q108" s="549">
        <v>7</v>
      </c>
      <c r="R108" s="553">
        <f>R92+28</f>
        <v>12933</v>
      </c>
      <c r="S108" s="551" t="s">
        <v>106</v>
      </c>
      <c r="T108" s="554">
        <f>T92+28</f>
        <v>13199</v>
      </c>
      <c r="U108" s="549"/>
      <c r="V108" s="555"/>
      <c r="W108" s="551"/>
      <c r="X108" s="556"/>
      <c r="Y108" s="557"/>
    </row>
    <row r="109" spans="1:25" x14ac:dyDescent="0.25">
      <c r="A109" s="549">
        <v>106</v>
      </c>
      <c r="B109" s="572">
        <f t="shared" si="3"/>
        <v>12935.625</v>
      </c>
      <c r="C109" s="551" t="s">
        <v>106</v>
      </c>
      <c r="D109" s="552">
        <f t="shared" si="2"/>
        <v>13201.625</v>
      </c>
      <c r="E109" s="549">
        <v>53</v>
      </c>
      <c r="F109" s="553">
        <f>F107+3.5</f>
        <v>12934.75</v>
      </c>
      <c r="G109" s="551" t="s">
        <v>106</v>
      </c>
      <c r="H109" s="552">
        <f>H107+3.5</f>
        <v>13200.75</v>
      </c>
      <c r="I109" s="549"/>
      <c r="J109" s="553"/>
      <c r="K109" s="553"/>
      <c r="L109" s="552"/>
      <c r="M109" s="549"/>
      <c r="N109" s="553"/>
      <c r="O109" s="553"/>
      <c r="P109" s="552"/>
      <c r="Q109" s="549"/>
      <c r="R109" s="553"/>
      <c r="S109" s="551"/>
      <c r="T109" s="554"/>
      <c r="U109" s="549"/>
      <c r="V109" s="555"/>
      <c r="W109" s="551"/>
      <c r="X109" s="556"/>
      <c r="Y109" s="557"/>
    </row>
    <row r="110" spans="1:25" x14ac:dyDescent="0.25">
      <c r="A110" s="549">
        <v>107</v>
      </c>
      <c r="B110" s="572">
        <f t="shared" si="3"/>
        <v>12937.375</v>
      </c>
      <c r="C110" s="551" t="s">
        <v>106</v>
      </c>
      <c r="D110" s="552">
        <f t="shared" si="2"/>
        <v>13203.375</v>
      </c>
      <c r="E110" s="549"/>
      <c r="F110" s="553"/>
      <c r="G110" s="551"/>
      <c r="H110" s="552"/>
      <c r="I110" s="549">
        <v>27</v>
      </c>
      <c r="J110" s="553">
        <f>J106+7</f>
        <v>12936.5</v>
      </c>
      <c r="K110" s="551" t="s">
        <v>106</v>
      </c>
      <c r="L110" s="552">
        <f>L106+7</f>
        <v>13202.5</v>
      </c>
      <c r="M110" s="549"/>
      <c r="N110" s="553"/>
      <c r="O110" s="553"/>
      <c r="P110" s="552"/>
      <c r="Q110" s="549"/>
      <c r="R110" s="553"/>
      <c r="S110" s="551"/>
      <c r="T110" s="554"/>
      <c r="U110" s="549"/>
      <c r="V110" s="555"/>
      <c r="W110" s="551"/>
      <c r="X110" s="556"/>
      <c r="Y110" s="557"/>
    </row>
    <row r="111" spans="1:25" x14ac:dyDescent="0.25">
      <c r="A111" s="549">
        <v>108</v>
      </c>
      <c r="B111" s="572">
        <f t="shared" si="3"/>
        <v>12939.125</v>
      </c>
      <c r="C111" s="551" t="s">
        <v>106</v>
      </c>
      <c r="D111" s="552">
        <f t="shared" si="2"/>
        <v>13205.125</v>
      </c>
      <c r="E111" s="549">
        <v>54</v>
      </c>
      <c r="F111" s="553">
        <f>F109+3.5</f>
        <v>12938.25</v>
      </c>
      <c r="G111" s="551" t="s">
        <v>106</v>
      </c>
      <c r="H111" s="552">
        <f>H109+3.5</f>
        <v>13204.25</v>
      </c>
      <c r="I111" s="549"/>
      <c r="J111" s="553"/>
      <c r="K111" s="553"/>
      <c r="L111" s="552"/>
      <c r="M111" s="549"/>
      <c r="N111" s="553"/>
      <c r="O111" s="553"/>
      <c r="P111" s="552"/>
      <c r="Q111" s="549"/>
      <c r="R111" s="553"/>
      <c r="S111" s="551"/>
      <c r="T111" s="554"/>
      <c r="U111" s="549"/>
      <c r="V111" s="555"/>
      <c r="W111" s="551"/>
      <c r="X111" s="556"/>
      <c r="Y111" s="557"/>
    </row>
    <row r="112" spans="1:25" x14ac:dyDescent="0.25">
      <c r="A112" s="549">
        <v>109</v>
      </c>
      <c r="B112" s="572">
        <f t="shared" si="3"/>
        <v>12940.875</v>
      </c>
      <c r="C112" s="551" t="s">
        <v>106</v>
      </c>
      <c r="D112" s="552">
        <f t="shared" si="2"/>
        <v>13206.875</v>
      </c>
      <c r="E112" s="549"/>
      <c r="F112" s="553"/>
      <c r="G112" s="551"/>
      <c r="H112" s="552"/>
      <c r="I112" s="549"/>
      <c r="J112" s="553"/>
      <c r="K112" s="553"/>
      <c r="L112" s="552"/>
      <c r="M112" s="549">
        <v>14</v>
      </c>
      <c r="N112" s="553">
        <f>N104+14</f>
        <v>12940</v>
      </c>
      <c r="O112" s="551" t="s">
        <v>106</v>
      </c>
      <c r="P112" s="552">
        <f>P104+14</f>
        <v>13206</v>
      </c>
      <c r="Q112" s="549"/>
      <c r="R112" s="553"/>
      <c r="S112" s="551"/>
      <c r="T112" s="554"/>
      <c r="U112" s="549"/>
      <c r="V112" s="555"/>
      <c r="W112" s="551"/>
      <c r="X112" s="556"/>
      <c r="Y112" s="557"/>
    </row>
    <row r="113" spans="1:25" x14ac:dyDescent="0.25">
      <c r="A113" s="549">
        <v>110</v>
      </c>
      <c r="B113" s="572">
        <f t="shared" si="3"/>
        <v>12942.625</v>
      </c>
      <c r="C113" s="551" t="s">
        <v>106</v>
      </c>
      <c r="D113" s="552">
        <f t="shared" si="2"/>
        <v>13208.625</v>
      </c>
      <c r="E113" s="549">
        <v>55</v>
      </c>
      <c r="F113" s="553">
        <f>F111+3.5</f>
        <v>12941.75</v>
      </c>
      <c r="G113" s="551" t="s">
        <v>106</v>
      </c>
      <c r="H113" s="552">
        <f>H111+3.5</f>
        <v>13207.75</v>
      </c>
      <c r="I113" s="549"/>
      <c r="J113" s="553"/>
      <c r="K113" s="553"/>
      <c r="L113" s="552"/>
      <c r="M113" s="549"/>
      <c r="N113" s="553"/>
      <c r="O113" s="553"/>
      <c r="P113" s="552"/>
      <c r="Q113" s="549"/>
      <c r="R113" s="553"/>
      <c r="S113" s="551"/>
      <c r="T113" s="554"/>
      <c r="U113" s="549"/>
      <c r="V113" s="555"/>
      <c r="W113" s="551"/>
      <c r="X113" s="556"/>
      <c r="Y113" s="557"/>
    </row>
    <row r="114" spans="1:25" x14ac:dyDescent="0.25">
      <c r="A114" s="549">
        <v>111</v>
      </c>
      <c r="B114" s="572">
        <f t="shared" si="3"/>
        <v>12944.375</v>
      </c>
      <c r="C114" s="551" t="s">
        <v>106</v>
      </c>
      <c r="D114" s="552">
        <f t="shared" si="2"/>
        <v>13210.375</v>
      </c>
      <c r="E114" s="549"/>
      <c r="F114" s="553"/>
      <c r="G114" s="551"/>
      <c r="H114" s="552"/>
      <c r="I114" s="549">
        <v>28</v>
      </c>
      <c r="J114" s="553">
        <f>J110+7</f>
        <v>12943.5</v>
      </c>
      <c r="K114" s="551" t="s">
        <v>106</v>
      </c>
      <c r="L114" s="552">
        <f>L110+7</f>
        <v>13209.5</v>
      </c>
      <c r="M114" s="549"/>
      <c r="N114" s="553"/>
      <c r="O114" s="553"/>
      <c r="P114" s="552"/>
      <c r="Q114" s="549"/>
      <c r="R114" s="553"/>
      <c r="S114" s="551"/>
      <c r="T114" s="554"/>
      <c r="U114" s="549"/>
      <c r="V114" s="555"/>
      <c r="W114" s="551"/>
      <c r="X114" s="556"/>
      <c r="Y114" s="557"/>
    </row>
    <row r="115" spans="1:25" ht="15.75" thickBot="1" x14ac:dyDescent="0.3">
      <c r="A115" s="562">
        <v>112</v>
      </c>
      <c r="B115" s="571">
        <f t="shared" si="3"/>
        <v>12946.125</v>
      </c>
      <c r="C115" s="564" t="s">
        <v>106</v>
      </c>
      <c r="D115" s="565">
        <f t="shared" si="2"/>
        <v>13212.125</v>
      </c>
      <c r="E115" s="562">
        <v>56</v>
      </c>
      <c r="F115" s="566">
        <f>F113+3.5</f>
        <v>12945.25</v>
      </c>
      <c r="G115" s="564" t="s">
        <v>106</v>
      </c>
      <c r="H115" s="565">
        <f>H113+3.5</f>
        <v>13211.25</v>
      </c>
      <c r="I115" s="562"/>
      <c r="J115" s="566"/>
      <c r="K115" s="566"/>
      <c r="L115" s="565"/>
      <c r="M115" s="562"/>
      <c r="N115" s="566"/>
      <c r="O115" s="566"/>
      <c r="P115" s="565"/>
      <c r="Q115" s="562"/>
      <c r="R115" s="566"/>
      <c r="S115" s="564"/>
      <c r="T115" s="567"/>
      <c r="U115" s="576">
        <v>7</v>
      </c>
      <c r="V115" s="568">
        <v>12947</v>
      </c>
      <c r="W115" s="564" t="s">
        <v>106</v>
      </c>
      <c r="X115" s="569">
        <v>13213</v>
      </c>
      <c r="Y115" s="570"/>
    </row>
    <row r="116" spans="1:25" x14ac:dyDescent="0.25">
      <c r="A116" s="540">
        <v>113</v>
      </c>
      <c r="B116" s="541">
        <f t="shared" si="3"/>
        <v>12947.875</v>
      </c>
      <c r="C116" s="542" t="s">
        <v>106</v>
      </c>
      <c r="D116" s="543">
        <f t="shared" si="2"/>
        <v>13213.875</v>
      </c>
      <c r="E116" s="540"/>
      <c r="F116" s="544"/>
      <c r="G116" s="542"/>
      <c r="H116" s="543"/>
      <c r="I116" s="540"/>
      <c r="J116" s="544"/>
      <c r="K116" s="544"/>
      <c r="L116" s="543"/>
      <c r="M116" s="540"/>
      <c r="N116" s="544"/>
      <c r="O116" s="544"/>
      <c r="P116" s="543"/>
      <c r="Q116" s="540"/>
      <c r="R116" s="544"/>
      <c r="S116" s="542"/>
      <c r="T116" s="545"/>
      <c r="U116" s="540"/>
      <c r="V116" s="546"/>
      <c r="W116" s="542"/>
      <c r="X116" s="547"/>
      <c r="Y116" s="548"/>
    </row>
    <row r="117" spans="1:25" x14ac:dyDescent="0.25">
      <c r="A117" s="549">
        <v>114</v>
      </c>
      <c r="B117" s="572">
        <f t="shared" si="3"/>
        <v>12949.625</v>
      </c>
      <c r="C117" s="551" t="s">
        <v>106</v>
      </c>
      <c r="D117" s="552">
        <f t="shared" si="2"/>
        <v>13215.625</v>
      </c>
      <c r="E117" s="549">
        <v>57</v>
      </c>
      <c r="F117" s="553">
        <f>F115+3.5</f>
        <v>12948.75</v>
      </c>
      <c r="G117" s="551" t="s">
        <v>106</v>
      </c>
      <c r="H117" s="552">
        <f>H115+3.5</f>
        <v>13214.75</v>
      </c>
      <c r="I117" s="549"/>
      <c r="J117" s="553"/>
      <c r="K117" s="553"/>
      <c r="L117" s="552"/>
      <c r="M117" s="549"/>
      <c r="N117" s="553"/>
      <c r="O117" s="553"/>
      <c r="P117" s="552"/>
      <c r="Q117" s="549"/>
      <c r="R117" s="553"/>
      <c r="S117" s="551"/>
      <c r="T117" s="554"/>
      <c r="U117" s="549"/>
      <c r="V117" s="555"/>
      <c r="W117" s="551"/>
      <c r="X117" s="556"/>
      <c r="Y117" s="557"/>
    </row>
    <row r="118" spans="1:25" x14ac:dyDescent="0.25">
      <c r="A118" s="549">
        <v>115</v>
      </c>
      <c r="B118" s="572">
        <f t="shared" si="3"/>
        <v>12951.375</v>
      </c>
      <c r="C118" s="551" t="s">
        <v>106</v>
      </c>
      <c r="D118" s="552">
        <f t="shared" si="2"/>
        <v>13217.375</v>
      </c>
      <c r="E118" s="549"/>
      <c r="F118" s="553"/>
      <c r="G118" s="551"/>
      <c r="H118" s="552"/>
      <c r="I118" s="549">
        <v>29</v>
      </c>
      <c r="J118" s="553">
        <f>J114+7</f>
        <v>12950.5</v>
      </c>
      <c r="K118" s="551" t="s">
        <v>106</v>
      </c>
      <c r="L118" s="552">
        <f>L114+7</f>
        <v>13216.5</v>
      </c>
      <c r="M118" s="549"/>
      <c r="N118" s="553"/>
      <c r="O118" s="553"/>
      <c r="P118" s="552"/>
      <c r="Q118" s="549"/>
      <c r="R118" s="553"/>
      <c r="S118" s="551"/>
      <c r="T118" s="554"/>
      <c r="U118" s="549"/>
      <c r="V118" s="555"/>
      <c r="W118" s="551"/>
      <c r="X118" s="556"/>
      <c r="Y118" s="557"/>
    </row>
    <row r="119" spans="1:25" x14ac:dyDescent="0.25">
      <c r="A119" s="549">
        <v>116</v>
      </c>
      <c r="B119" s="572">
        <f t="shared" si="3"/>
        <v>12953.125</v>
      </c>
      <c r="C119" s="551" t="s">
        <v>106</v>
      </c>
      <c r="D119" s="552">
        <f t="shared" si="2"/>
        <v>13219.125</v>
      </c>
      <c r="E119" s="549">
        <v>58</v>
      </c>
      <c r="F119" s="553">
        <f>F117+3.5</f>
        <v>12952.25</v>
      </c>
      <c r="G119" s="551" t="s">
        <v>106</v>
      </c>
      <c r="H119" s="552">
        <f>H117+3.5</f>
        <v>13218.25</v>
      </c>
      <c r="I119" s="549"/>
      <c r="J119" s="553"/>
      <c r="K119" s="553"/>
      <c r="L119" s="552"/>
      <c r="M119" s="549"/>
      <c r="N119" s="553"/>
      <c r="O119" s="553"/>
      <c r="P119" s="552"/>
      <c r="Q119" s="549"/>
      <c r="R119" s="553"/>
      <c r="S119" s="551"/>
      <c r="T119" s="554"/>
      <c r="U119" s="549"/>
      <c r="V119" s="555"/>
      <c r="W119" s="551"/>
      <c r="X119" s="556"/>
      <c r="Y119" s="557"/>
    </row>
    <row r="120" spans="1:25" x14ac:dyDescent="0.25">
      <c r="A120" s="549">
        <v>117</v>
      </c>
      <c r="B120" s="572">
        <f t="shared" si="3"/>
        <v>12954.875</v>
      </c>
      <c r="C120" s="551" t="s">
        <v>106</v>
      </c>
      <c r="D120" s="552">
        <f t="shared" si="2"/>
        <v>13220.875</v>
      </c>
      <c r="E120" s="549"/>
      <c r="F120" s="553"/>
      <c r="G120" s="551"/>
      <c r="H120" s="552"/>
      <c r="I120" s="549"/>
      <c r="J120" s="553"/>
      <c r="K120" s="553"/>
      <c r="L120" s="552"/>
      <c r="M120" s="549">
        <v>15</v>
      </c>
      <c r="N120" s="553">
        <f>N112+14</f>
        <v>12954</v>
      </c>
      <c r="O120" s="551" t="s">
        <v>106</v>
      </c>
      <c r="P120" s="552">
        <f>P112+14</f>
        <v>13220</v>
      </c>
      <c r="Q120" s="549"/>
      <c r="R120" s="553"/>
      <c r="S120" s="551"/>
      <c r="T120" s="554"/>
      <c r="U120" s="549"/>
      <c r="V120" s="555"/>
      <c r="W120" s="551"/>
      <c r="X120" s="556"/>
      <c r="Y120" s="557"/>
    </row>
    <row r="121" spans="1:25" x14ac:dyDescent="0.25">
      <c r="A121" s="549">
        <v>118</v>
      </c>
      <c r="B121" s="572">
        <f t="shared" si="3"/>
        <v>12956.625</v>
      </c>
      <c r="C121" s="551" t="s">
        <v>106</v>
      </c>
      <c r="D121" s="552">
        <f t="shared" si="2"/>
        <v>13222.625</v>
      </c>
      <c r="E121" s="549">
        <v>59</v>
      </c>
      <c r="F121" s="553">
        <f>F119+3.5</f>
        <v>12955.75</v>
      </c>
      <c r="G121" s="551" t="s">
        <v>106</v>
      </c>
      <c r="H121" s="552">
        <f>H119+3.5</f>
        <v>13221.75</v>
      </c>
      <c r="I121" s="549"/>
      <c r="J121" s="553"/>
      <c r="K121" s="553"/>
      <c r="L121" s="552"/>
      <c r="M121" s="549"/>
      <c r="N121" s="553"/>
      <c r="O121" s="553"/>
      <c r="P121" s="552"/>
      <c r="Q121" s="549"/>
      <c r="R121" s="553"/>
      <c r="S121" s="551"/>
      <c r="T121" s="554"/>
      <c r="U121" s="549"/>
      <c r="V121" s="555"/>
      <c r="W121" s="551"/>
      <c r="X121" s="556"/>
      <c r="Y121" s="557"/>
    </row>
    <row r="122" spans="1:25" x14ac:dyDescent="0.25">
      <c r="A122" s="549">
        <v>119</v>
      </c>
      <c r="B122" s="572">
        <f t="shared" si="3"/>
        <v>12958.375</v>
      </c>
      <c r="C122" s="551" t="s">
        <v>106</v>
      </c>
      <c r="D122" s="552">
        <f t="shared" si="2"/>
        <v>13224.375</v>
      </c>
      <c r="E122" s="549"/>
      <c r="F122" s="553"/>
      <c r="G122" s="551"/>
      <c r="H122" s="552"/>
      <c r="I122" s="549">
        <v>30</v>
      </c>
      <c r="J122" s="553">
        <f>J118+7</f>
        <v>12957.5</v>
      </c>
      <c r="K122" s="551" t="s">
        <v>106</v>
      </c>
      <c r="L122" s="552">
        <f>L118+7</f>
        <v>13223.5</v>
      </c>
      <c r="M122" s="549"/>
      <c r="N122" s="553"/>
      <c r="O122" s="553"/>
      <c r="P122" s="552"/>
      <c r="Q122" s="549"/>
      <c r="R122" s="553"/>
      <c r="S122" s="551"/>
      <c r="T122" s="554"/>
      <c r="U122" s="549"/>
      <c r="V122" s="555"/>
      <c r="W122" s="551"/>
      <c r="X122" s="556"/>
      <c r="Y122" s="557"/>
    </row>
    <row r="123" spans="1:25" x14ac:dyDescent="0.25">
      <c r="A123" s="549">
        <v>120</v>
      </c>
      <c r="B123" s="572">
        <f t="shared" si="3"/>
        <v>12960.125</v>
      </c>
      <c r="C123" s="551" t="s">
        <v>106</v>
      </c>
      <c r="D123" s="552">
        <f t="shared" si="2"/>
        <v>13226.125</v>
      </c>
      <c r="E123" s="549">
        <v>60</v>
      </c>
      <c r="F123" s="553">
        <f>F121+3.5</f>
        <v>12959.25</v>
      </c>
      <c r="G123" s="551" t="s">
        <v>106</v>
      </c>
      <c r="H123" s="552">
        <f>H121+3.5</f>
        <v>13225.25</v>
      </c>
      <c r="I123" s="549"/>
      <c r="J123" s="553"/>
      <c r="K123" s="553"/>
      <c r="L123" s="552"/>
      <c r="M123" s="549"/>
      <c r="N123" s="553"/>
      <c r="O123" s="553"/>
      <c r="P123" s="552"/>
      <c r="Q123" s="549"/>
      <c r="R123" s="553"/>
      <c r="S123" s="551"/>
      <c r="T123" s="554"/>
      <c r="U123" s="549"/>
      <c r="V123" s="555"/>
      <c r="W123" s="551"/>
      <c r="X123" s="556"/>
      <c r="Y123" s="557"/>
    </row>
    <row r="124" spans="1:25" x14ac:dyDescent="0.25">
      <c r="A124" s="549">
        <v>121</v>
      </c>
      <c r="B124" s="572">
        <f t="shared" si="3"/>
        <v>12961.875</v>
      </c>
      <c r="C124" s="551" t="s">
        <v>106</v>
      </c>
      <c r="D124" s="552">
        <f t="shared" si="2"/>
        <v>13227.875</v>
      </c>
      <c r="E124" s="549"/>
      <c r="F124" s="553"/>
      <c r="G124" s="551"/>
      <c r="H124" s="552"/>
      <c r="I124" s="549"/>
      <c r="J124" s="553"/>
      <c r="K124" s="553"/>
      <c r="L124" s="552"/>
      <c r="M124" s="549"/>
      <c r="N124" s="553"/>
      <c r="O124" s="553"/>
      <c r="P124" s="552"/>
      <c r="Q124" s="549">
        <v>8</v>
      </c>
      <c r="R124" s="553">
        <f>R108+28</f>
        <v>12961</v>
      </c>
      <c r="S124" s="551" t="s">
        <v>106</v>
      </c>
      <c r="T124" s="554">
        <f>T108+28</f>
        <v>13227</v>
      </c>
      <c r="U124" s="549"/>
      <c r="V124" s="555"/>
      <c r="W124" s="551"/>
      <c r="X124" s="556"/>
      <c r="Y124" s="557"/>
    </row>
    <row r="125" spans="1:25" x14ac:dyDescent="0.25">
      <c r="A125" s="549">
        <v>122</v>
      </c>
      <c r="B125" s="572">
        <f t="shared" si="3"/>
        <v>12963.625</v>
      </c>
      <c r="C125" s="551" t="s">
        <v>106</v>
      </c>
      <c r="D125" s="552">
        <f t="shared" si="2"/>
        <v>13229.625</v>
      </c>
      <c r="E125" s="549">
        <v>61</v>
      </c>
      <c r="F125" s="553">
        <f>F123+3.5</f>
        <v>12962.75</v>
      </c>
      <c r="G125" s="551" t="s">
        <v>106</v>
      </c>
      <c r="H125" s="552">
        <f>H123+3.5</f>
        <v>13228.75</v>
      </c>
      <c r="I125" s="549"/>
      <c r="J125" s="553"/>
      <c r="K125" s="553"/>
      <c r="L125" s="552"/>
      <c r="M125" s="549"/>
      <c r="N125" s="553"/>
      <c r="O125" s="553"/>
      <c r="P125" s="552"/>
      <c r="Q125" s="549"/>
      <c r="R125" s="553"/>
      <c r="S125" s="551"/>
      <c r="T125" s="554"/>
      <c r="U125" s="549"/>
      <c r="V125" s="555"/>
      <c r="W125" s="551"/>
      <c r="X125" s="556"/>
      <c r="Y125" s="557"/>
    </row>
    <row r="126" spans="1:25" x14ac:dyDescent="0.25">
      <c r="A126" s="549">
        <v>123</v>
      </c>
      <c r="B126" s="572">
        <f t="shared" si="3"/>
        <v>12965.375</v>
      </c>
      <c r="C126" s="551" t="s">
        <v>106</v>
      </c>
      <c r="D126" s="552">
        <f t="shared" si="2"/>
        <v>13231.375</v>
      </c>
      <c r="E126" s="549"/>
      <c r="F126" s="553"/>
      <c r="G126" s="551"/>
      <c r="H126" s="552"/>
      <c r="I126" s="549">
        <v>31</v>
      </c>
      <c r="J126" s="553">
        <f>J122+7</f>
        <v>12964.5</v>
      </c>
      <c r="K126" s="551" t="s">
        <v>106</v>
      </c>
      <c r="L126" s="552">
        <f>L122+7</f>
        <v>13230.5</v>
      </c>
      <c r="M126" s="549"/>
      <c r="N126" s="553"/>
      <c r="O126" s="553"/>
      <c r="P126" s="552"/>
      <c r="Q126" s="549"/>
      <c r="R126" s="553"/>
      <c r="S126" s="551"/>
      <c r="T126" s="554"/>
      <c r="U126" s="549"/>
      <c r="V126" s="555"/>
      <c r="W126" s="551"/>
      <c r="X126" s="556"/>
      <c r="Y126" s="557"/>
    </row>
    <row r="127" spans="1:25" x14ac:dyDescent="0.25">
      <c r="A127" s="549">
        <v>124</v>
      </c>
      <c r="B127" s="572">
        <f t="shared" si="3"/>
        <v>12967.125</v>
      </c>
      <c r="C127" s="551" t="s">
        <v>106</v>
      </c>
      <c r="D127" s="552">
        <f t="shared" si="2"/>
        <v>13233.125</v>
      </c>
      <c r="E127" s="549">
        <v>62</v>
      </c>
      <c r="F127" s="553">
        <f>F125+3.5</f>
        <v>12966.25</v>
      </c>
      <c r="G127" s="551" t="s">
        <v>106</v>
      </c>
      <c r="H127" s="552">
        <f>H125+3.5</f>
        <v>13232.25</v>
      </c>
      <c r="I127" s="549"/>
      <c r="J127" s="553"/>
      <c r="K127" s="553"/>
      <c r="L127" s="552"/>
      <c r="M127" s="549"/>
      <c r="N127" s="553"/>
      <c r="O127" s="551"/>
      <c r="P127" s="552"/>
      <c r="Q127" s="549"/>
      <c r="R127" s="553"/>
      <c r="S127" s="551"/>
      <c r="T127" s="554"/>
      <c r="U127" s="549"/>
      <c r="V127" s="555"/>
      <c r="W127" s="551"/>
      <c r="X127" s="556"/>
      <c r="Y127" s="557"/>
    </row>
    <row r="128" spans="1:25" x14ac:dyDescent="0.25">
      <c r="A128" s="549">
        <v>125</v>
      </c>
      <c r="B128" s="572">
        <f t="shared" si="3"/>
        <v>12968.875</v>
      </c>
      <c r="C128" s="551" t="s">
        <v>106</v>
      </c>
      <c r="D128" s="552">
        <f t="shared" si="2"/>
        <v>13234.875</v>
      </c>
      <c r="E128" s="549"/>
      <c r="F128" s="553"/>
      <c r="G128" s="551"/>
      <c r="H128" s="552"/>
      <c r="I128" s="549"/>
      <c r="J128" s="553"/>
      <c r="K128" s="553"/>
      <c r="L128" s="552"/>
      <c r="M128" s="549">
        <v>16</v>
      </c>
      <c r="N128" s="553">
        <f>N120+14</f>
        <v>12968</v>
      </c>
      <c r="O128" s="551" t="s">
        <v>106</v>
      </c>
      <c r="P128" s="552">
        <f>P120+14</f>
        <v>13234</v>
      </c>
      <c r="Q128" s="549"/>
      <c r="R128" s="553"/>
      <c r="S128" s="551"/>
      <c r="T128" s="554"/>
      <c r="U128" s="549"/>
      <c r="V128" s="555"/>
      <c r="W128" s="551"/>
      <c r="X128" s="556"/>
      <c r="Y128" s="557"/>
    </row>
    <row r="129" spans="1:25" x14ac:dyDescent="0.25">
      <c r="A129" s="549">
        <v>126</v>
      </c>
      <c r="B129" s="572">
        <f t="shared" si="3"/>
        <v>12970.625</v>
      </c>
      <c r="C129" s="551" t="s">
        <v>106</v>
      </c>
      <c r="D129" s="552">
        <f t="shared" si="2"/>
        <v>13236.625</v>
      </c>
      <c r="E129" s="549">
        <v>63</v>
      </c>
      <c r="F129" s="553">
        <f>F127+3.5</f>
        <v>12969.75</v>
      </c>
      <c r="G129" s="551" t="s">
        <v>106</v>
      </c>
      <c r="H129" s="552">
        <f>H127+3.5</f>
        <v>13235.75</v>
      </c>
      <c r="I129" s="549"/>
      <c r="J129" s="553"/>
      <c r="K129" s="553"/>
      <c r="L129" s="552"/>
      <c r="M129" s="549"/>
      <c r="N129" s="553"/>
      <c r="O129" s="553"/>
      <c r="P129" s="552"/>
      <c r="Q129" s="549"/>
      <c r="R129" s="553"/>
      <c r="S129" s="551"/>
      <c r="T129" s="554"/>
      <c r="U129" s="549"/>
      <c r="V129" s="555"/>
      <c r="W129" s="551"/>
      <c r="X129" s="556"/>
      <c r="Y129" s="557"/>
    </row>
    <row r="130" spans="1:25" x14ac:dyDescent="0.25">
      <c r="A130" s="549">
        <v>127</v>
      </c>
      <c r="B130" s="572">
        <f t="shared" si="3"/>
        <v>12972.375</v>
      </c>
      <c r="C130" s="551" t="s">
        <v>106</v>
      </c>
      <c r="D130" s="552">
        <f t="shared" si="2"/>
        <v>13238.375</v>
      </c>
      <c r="E130" s="549"/>
      <c r="F130" s="553"/>
      <c r="G130" s="551"/>
      <c r="H130" s="552"/>
      <c r="I130" s="549">
        <v>32</v>
      </c>
      <c r="J130" s="553">
        <f>J126+7</f>
        <v>12971.5</v>
      </c>
      <c r="K130" s="551" t="s">
        <v>106</v>
      </c>
      <c r="L130" s="552">
        <f>L126+7</f>
        <v>13237.5</v>
      </c>
      <c r="M130" s="549"/>
      <c r="N130" s="553"/>
      <c r="O130" s="553"/>
      <c r="P130" s="552"/>
      <c r="Q130" s="549"/>
      <c r="R130" s="553"/>
      <c r="S130" s="551"/>
      <c r="T130" s="554"/>
      <c r="U130" s="549"/>
      <c r="V130" s="555"/>
      <c r="W130" s="551"/>
      <c r="X130" s="556"/>
      <c r="Y130" s="557"/>
    </row>
    <row r="131" spans="1:25" ht="15.75" thickBot="1" x14ac:dyDescent="0.3">
      <c r="A131" s="576">
        <v>128</v>
      </c>
      <c r="B131" s="573">
        <f t="shared" si="3"/>
        <v>12974.125</v>
      </c>
      <c r="C131" s="574" t="s">
        <v>106</v>
      </c>
      <c r="D131" s="575">
        <f t="shared" si="2"/>
        <v>13240.125</v>
      </c>
      <c r="E131" s="576">
        <v>64</v>
      </c>
      <c r="F131" s="577">
        <f>F129+3.5</f>
        <v>12973.25</v>
      </c>
      <c r="G131" s="574" t="s">
        <v>106</v>
      </c>
      <c r="H131" s="575">
        <f>H129+3.5</f>
        <v>13239.25</v>
      </c>
      <c r="I131" s="576"/>
      <c r="J131" s="577"/>
      <c r="K131" s="577"/>
      <c r="L131" s="575"/>
      <c r="M131" s="576"/>
      <c r="N131" s="577"/>
      <c r="O131" s="577"/>
      <c r="P131" s="575"/>
      <c r="Q131" s="576"/>
      <c r="R131" s="577"/>
      <c r="S131" s="574"/>
      <c r="T131" s="578"/>
      <c r="U131" s="576"/>
      <c r="V131" s="579"/>
      <c r="W131" s="574"/>
      <c r="X131" s="580"/>
      <c r="Y131" s="581"/>
    </row>
  </sheetData>
  <mergeCells count="6">
    <mergeCell ref="U3:X3"/>
    <mergeCell ref="A3:D3"/>
    <mergeCell ref="E3:H3"/>
    <mergeCell ref="I3:L3"/>
    <mergeCell ref="M3:P3"/>
    <mergeCell ref="Q3:T3"/>
  </mergeCells>
  <hyperlinks>
    <hyperlink ref="N1" location="'Oversikt'!A1" display="Oversikt" xr:uid="{703468B5-1E38-4B06-82B4-4570208725B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453C-8C8C-4F9A-91F6-548105D96E23}">
  <sheetPr codeName="Ark13">
    <tabColor theme="8" tint="0.39997558519241921"/>
  </sheetPr>
  <dimension ref="A1:W77"/>
  <sheetViews>
    <sheetView zoomScale="80" zoomScaleNormal="80" workbookViewId="0">
      <pane ySplit="5" topLeftCell="A6" activePane="bottomLeft" state="frozen"/>
      <selection pane="bottomLeft" activeCell="H56" sqref="H56"/>
    </sheetView>
  </sheetViews>
  <sheetFormatPr baseColWidth="10" defaultColWidth="11.42578125" defaultRowHeight="15" x14ac:dyDescent="0.25"/>
  <cols>
    <col min="1" max="2" width="6.7109375" customWidth="1"/>
    <col min="3" max="3" width="6.7109375" style="3" customWidth="1"/>
    <col min="4" max="5" width="6.7109375" customWidth="1"/>
    <col min="6" max="6" width="9.85546875" customWidth="1"/>
    <col min="7" max="7" width="6.7109375" customWidth="1"/>
    <col min="8" max="8" width="9.42578125" customWidth="1"/>
    <col min="9" max="9" width="6.7109375" customWidth="1"/>
    <col min="10" max="10" width="9.42578125" customWidth="1"/>
    <col min="11" max="11" width="6.7109375" customWidth="1"/>
    <col min="12" max="12" width="8" customWidth="1"/>
    <col min="13" max="13" width="6.7109375" customWidth="1"/>
    <col min="14" max="14" width="8.5703125" customWidth="1"/>
    <col min="15" max="15" width="6.7109375" customWidth="1"/>
    <col min="16" max="16" width="8.7109375" customWidth="1"/>
    <col min="17" max="17" width="6.7109375" customWidth="1"/>
    <col min="18" max="18" width="8.5703125" customWidth="1"/>
    <col min="19" max="19" width="6.7109375" style="3" customWidth="1"/>
    <col min="20" max="20" width="8.28515625" customWidth="1"/>
    <col min="21" max="21" width="24.7109375" customWidth="1"/>
  </cols>
  <sheetData>
    <row r="1" spans="1:21" ht="18.75" x14ac:dyDescent="0.3">
      <c r="A1" s="1" t="s">
        <v>173</v>
      </c>
      <c r="B1" s="2"/>
      <c r="E1" s="3"/>
      <c r="G1" s="4"/>
      <c r="H1" s="5"/>
      <c r="I1" s="4"/>
      <c r="J1" s="2"/>
      <c r="K1" s="6"/>
      <c r="L1" s="800" t="s">
        <v>50</v>
      </c>
      <c r="M1" s="3"/>
      <c r="P1" s="7"/>
      <c r="Q1" s="3"/>
      <c r="T1" s="7"/>
      <c r="U1" s="8" t="s">
        <v>174</v>
      </c>
    </row>
    <row r="2" spans="1:21" ht="15.75" x14ac:dyDescent="0.25">
      <c r="A2" s="9"/>
      <c r="E2" s="3"/>
      <c r="G2" s="3"/>
      <c r="H2" s="7"/>
      <c r="I2" s="3"/>
      <c r="L2" s="7"/>
      <c r="M2" s="3"/>
      <c r="P2" s="7"/>
      <c r="Q2" s="3"/>
      <c r="T2" s="7"/>
    </row>
    <row r="3" spans="1:21" ht="15.75" x14ac:dyDescent="0.25">
      <c r="A3" s="9"/>
      <c r="E3" s="3"/>
      <c r="G3" s="3"/>
      <c r="H3" s="7"/>
      <c r="I3" s="3"/>
      <c r="L3" s="7"/>
      <c r="M3" s="3"/>
      <c r="P3" s="7"/>
      <c r="Q3" s="3"/>
      <c r="T3" s="7"/>
    </row>
    <row r="4" spans="1:21" ht="15.75" thickBot="1" x14ac:dyDescent="0.3">
      <c r="A4" s="3"/>
      <c r="E4" s="3"/>
      <c r="G4" s="3"/>
      <c r="H4" s="7"/>
      <c r="I4" s="3"/>
      <c r="L4" s="7"/>
      <c r="M4" s="3"/>
      <c r="P4" s="7"/>
      <c r="Q4" s="3"/>
      <c r="T4" s="7"/>
    </row>
    <row r="5" spans="1:21" ht="16.5" thickTop="1" thickBot="1" x14ac:dyDescent="0.3">
      <c r="A5" s="10"/>
      <c r="B5" s="382" t="s">
        <v>175</v>
      </c>
      <c r="C5" s="229"/>
      <c r="D5" s="12"/>
      <c r="E5" s="13"/>
      <c r="F5" s="14" t="s">
        <v>176</v>
      </c>
      <c r="G5" s="15"/>
      <c r="H5" s="16"/>
      <c r="I5" s="13"/>
      <c r="J5" s="14" t="s">
        <v>177</v>
      </c>
      <c r="K5" s="17"/>
      <c r="L5" s="16"/>
      <c r="M5" s="13"/>
      <c r="N5" s="14" t="s">
        <v>178</v>
      </c>
      <c r="O5" s="17"/>
      <c r="P5" s="16"/>
      <c r="Q5" s="13"/>
      <c r="R5" s="14" t="s">
        <v>179</v>
      </c>
      <c r="S5" s="15"/>
      <c r="T5" s="16"/>
      <c r="U5" s="18" t="s">
        <v>105</v>
      </c>
    </row>
    <row r="6" spans="1:21" x14ac:dyDescent="0.25">
      <c r="A6" s="19"/>
      <c r="B6" s="20">
        <v>17700</v>
      </c>
      <c r="C6" s="25"/>
      <c r="D6" s="22"/>
      <c r="E6" s="23"/>
      <c r="F6" s="24"/>
      <c r="G6" s="25"/>
      <c r="H6" s="26"/>
      <c r="I6" s="23"/>
      <c r="J6" s="24"/>
      <c r="K6" s="21"/>
      <c r="L6" s="26"/>
      <c r="M6" s="23"/>
      <c r="N6" s="24"/>
      <c r="O6" s="21"/>
      <c r="P6" s="26"/>
      <c r="Q6" s="23"/>
      <c r="R6" s="24"/>
      <c r="S6" s="25"/>
      <c r="T6" s="26"/>
      <c r="U6" s="27"/>
    </row>
    <row r="7" spans="1:21" x14ac:dyDescent="0.25">
      <c r="A7" s="28"/>
      <c r="B7" s="29">
        <v>17706.875</v>
      </c>
      <c r="C7" s="34"/>
      <c r="D7" s="31">
        <v>18716.875</v>
      </c>
      <c r="E7" s="32"/>
      <c r="F7" s="33"/>
      <c r="G7" s="34"/>
      <c r="H7" s="35"/>
      <c r="I7" s="32"/>
      <c r="J7" s="33"/>
      <c r="K7" s="30"/>
      <c r="L7" s="35"/>
      <c r="M7" s="32"/>
      <c r="N7" s="33"/>
      <c r="O7" s="30"/>
      <c r="P7" s="35"/>
      <c r="Q7" s="32"/>
      <c r="R7" s="33"/>
      <c r="S7" s="34"/>
      <c r="T7" s="35"/>
      <c r="U7" s="36"/>
    </row>
    <row r="8" spans="1:21" x14ac:dyDescent="0.25">
      <c r="A8" s="589">
        <v>1</v>
      </c>
      <c r="B8" s="590">
        <f>18700-1000+13.75*A8</f>
        <v>17713.75</v>
      </c>
      <c r="C8" s="591" t="s">
        <v>106</v>
      </c>
      <c r="D8" s="592">
        <f>18700+10+13.75*A8</f>
        <v>18723.75</v>
      </c>
      <c r="E8" s="593"/>
      <c r="F8" s="590"/>
      <c r="G8" s="591"/>
      <c r="H8" s="594"/>
      <c r="I8" s="32"/>
      <c r="J8" s="30"/>
      <c r="K8" s="30"/>
      <c r="L8" s="35"/>
      <c r="M8" s="32"/>
      <c r="N8" s="30"/>
      <c r="O8" s="30"/>
      <c r="P8" s="35"/>
      <c r="Q8" s="32"/>
      <c r="R8" s="30"/>
      <c r="S8" s="34"/>
      <c r="T8" s="35"/>
      <c r="U8" s="595"/>
    </row>
    <row r="9" spans="1:21" x14ac:dyDescent="0.25">
      <c r="A9" s="589">
        <f>A8+1</f>
        <v>2</v>
      </c>
      <c r="B9" s="590">
        <f>18700-1000+13.75*A9</f>
        <v>17727.5</v>
      </c>
      <c r="C9" s="591" t="str">
        <f>C8</f>
        <v>/</v>
      </c>
      <c r="D9" s="592">
        <f t="shared" ref="D9:D72" si="0">18700+10+13.75*A9</f>
        <v>18737.5</v>
      </c>
      <c r="E9" s="593">
        <v>1</v>
      </c>
      <c r="F9" s="590">
        <f>18700-1000+27.5*E9</f>
        <v>17727.5</v>
      </c>
      <c r="G9" s="591" t="s">
        <v>106</v>
      </c>
      <c r="H9" s="594">
        <f>18700+10+27.5*1</f>
        <v>18737.5</v>
      </c>
      <c r="I9" s="593"/>
      <c r="J9" s="590"/>
      <c r="K9" s="591"/>
      <c r="L9" s="594"/>
      <c r="M9" s="32"/>
      <c r="N9" s="30"/>
      <c r="O9" s="30"/>
      <c r="P9" s="35"/>
      <c r="Q9" s="32"/>
      <c r="R9" s="30"/>
      <c r="S9" s="34"/>
      <c r="T9" s="35"/>
      <c r="U9" s="595"/>
    </row>
    <row r="10" spans="1:21" x14ac:dyDescent="0.25">
      <c r="A10" s="589">
        <f t="shared" ref="A10:A73" si="1">A9+1</f>
        <v>3</v>
      </c>
      <c r="B10" s="590">
        <f t="shared" ref="B10:B73" si="2">18700-1000+13.75*A10</f>
        <v>17741.25</v>
      </c>
      <c r="C10" s="591" t="str">
        <f t="shared" ref="C10:C73" si="3">C9</f>
        <v>/</v>
      </c>
      <c r="D10" s="592">
        <f t="shared" si="0"/>
        <v>18751.25</v>
      </c>
      <c r="E10" s="593" t="s">
        <v>127</v>
      </c>
      <c r="F10" s="590"/>
      <c r="G10" s="591"/>
      <c r="H10" s="594"/>
      <c r="I10" s="593"/>
      <c r="J10" s="590"/>
      <c r="K10" s="590"/>
      <c r="L10" s="594"/>
      <c r="M10" s="32"/>
      <c r="N10" s="30"/>
      <c r="O10" s="30"/>
      <c r="P10" s="35"/>
      <c r="Q10" s="32"/>
      <c r="R10" s="30"/>
      <c r="S10" s="34"/>
      <c r="T10" s="35"/>
      <c r="U10" s="595"/>
    </row>
    <row r="11" spans="1:21" x14ac:dyDescent="0.25">
      <c r="A11" s="589">
        <f t="shared" si="1"/>
        <v>4</v>
      </c>
      <c r="B11" s="590">
        <f t="shared" si="2"/>
        <v>17755</v>
      </c>
      <c r="C11" s="591" t="str">
        <f t="shared" si="3"/>
        <v>/</v>
      </c>
      <c r="D11" s="592">
        <f t="shared" si="0"/>
        <v>18765</v>
      </c>
      <c r="E11" s="593">
        <f>E9+1</f>
        <v>2</v>
      </c>
      <c r="F11" s="590">
        <f>18700-1000+27.5*2</f>
        <v>17755</v>
      </c>
      <c r="G11" s="591" t="s">
        <v>106</v>
      </c>
      <c r="H11" s="594">
        <f>18700+10+27.5*2</f>
        <v>18765</v>
      </c>
      <c r="I11" s="593">
        <v>1</v>
      </c>
      <c r="J11" s="590">
        <f>18700-1000+55*1</f>
        <v>17755</v>
      </c>
      <c r="K11" s="591" t="s">
        <v>106</v>
      </c>
      <c r="L11" s="594">
        <f>18700+10+55*1</f>
        <v>18765</v>
      </c>
      <c r="M11" s="593"/>
      <c r="N11" s="590"/>
      <c r="O11" s="590"/>
      <c r="P11" s="594"/>
      <c r="Q11" s="593"/>
      <c r="R11" s="590"/>
      <c r="S11" s="591"/>
      <c r="T11" s="594"/>
      <c r="U11" s="595"/>
    </row>
    <row r="12" spans="1:21" x14ac:dyDescent="0.25">
      <c r="A12" s="589">
        <f t="shared" si="1"/>
        <v>5</v>
      </c>
      <c r="B12" s="590">
        <f t="shared" si="2"/>
        <v>17768.75</v>
      </c>
      <c r="C12" s="591" t="str">
        <f t="shared" si="3"/>
        <v>/</v>
      </c>
      <c r="D12" s="592">
        <f t="shared" si="0"/>
        <v>18778.75</v>
      </c>
      <c r="E12" s="593" t="s">
        <v>127</v>
      </c>
      <c r="F12" s="590"/>
      <c r="G12" s="591"/>
      <c r="H12" s="594"/>
      <c r="I12" s="593"/>
      <c r="J12" s="590"/>
      <c r="K12" s="590"/>
      <c r="L12" s="594"/>
      <c r="M12" s="593"/>
      <c r="N12" s="590"/>
      <c r="O12" s="590"/>
      <c r="P12" s="594"/>
      <c r="Q12" s="593"/>
      <c r="R12" s="590"/>
      <c r="S12" s="591"/>
      <c r="T12" s="594"/>
      <c r="U12" s="595"/>
    </row>
    <row r="13" spans="1:21" x14ac:dyDescent="0.25">
      <c r="A13" s="589">
        <f t="shared" si="1"/>
        <v>6</v>
      </c>
      <c r="B13" s="590">
        <f t="shared" si="2"/>
        <v>17782.5</v>
      </c>
      <c r="C13" s="591" t="str">
        <f t="shared" si="3"/>
        <v>/</v>
      </c>
      <c r="D13" s="592">
        <f t="shared" si="0"/>
        <v>18792.5</v>
      </c>
      <c r="E13" s="593">
        <f>E11+1</f>
        <v>3</v>
      </c>
      <c r="F13" s="590">
        <f>18700-1000+27.5*3</f>
        <v>17782.5</v>
      </c>
      <c r="G13" s="591" t="s">
        <v>106</v>
      </c>
      <c r="H13" s="594">
        <f>18700+10+27.5*3</f>
        <v>18792.5</v>
      </c>
      <c r="I13" s="593"/>
      <c r="J13" s="590"/>
      <c r="K13" s="590"/>
      <c r="L13" s="594"/>
      <c r="M13" s="593"/>
      <c r="N13" s="590"/>
      <c r="O13" s="590"/>
      <c r="P13" s="594"/>
      <c r="Q13" s="593"/>
      <c r="R13" s="590"/>
      <c r="S13" s="591"/>
      <c r="T13" s="594"/>
      <c r="U13" s="595"/>
    </row>
    <row r="14" spans="1:21" x14ac:dyDescent="0.25">
      <c r="A14" s="589">
        <f t="shared" si="1"/>
        <v>7</v>
      </c>
      <c r="B14" s="590">
        <f t="shared" si="2"/>
        <v>17796.25</v>
      </c>
      <c r="C14" s="591" t="str">
        <f t="shared" si="3"/>
        <v>/</v>
      </c>
      <c r="D14" s="592">
        <f t="shared" si="0"/>
        <v>18806.25</v>
      </c>
      <c r="E14" s="593" t="s">
        <v>127</v>
      </c>
      <c r="F14" s="590"/>
      <c r="G14" s="591"/>
      <c r="H14" s="594"/>
      <c r="I14" s="593"/>
      <c r="J14" s="590"/>
      <c r="K14" s="590"/>
      <c r="L14" s="594"/>
      <c r="M14" s="593"/>
      <c r="N14" s="590"/>
      <c r="O14" s="590"/>
      <c r="P14" s="594"/>
      <c r="Q14" s="593"/>
      <c r="R14" s="590"/>
      <c r="S14" s="591"/>
      <c r="T14" s="594"/>
      <c r="U14" s="595"/>
    </row>
    <row r="15" spans="1:21" x14ac:dyDescent="0.25">
      <c r="A15" s="589">
        <f t="shared" si="1"/>
        <v>8</v>
      </c>
      <c r="B15" s="590">
        <f t="shared" si="2"/>
        <v>17810</v>
      </c>
      <c r="C15" s="591" t="str">
        <f t="shared" si="3"/>
        <v>/</v>
      </c>
      <c r="D15" s="592">
        <f t="shared" si="0"/>
        <v>18820</v>
      </c>
      <c r="E15" s="593">
        <f>E13+1</f>
        <v>4</v>
      </c>
      <c r="F15" s="590">
        <f>18700-1000+27.5*4</f>
        <v>17810</v>
      </c>
      <c r="G15" s="591" t="s">
        <v>106</v>
      </c>
      <c r="H15" s="594">
        <f>18700+10+27.5*4</f>
        <v>18820</v>
      </c>
      <c r="I15" s="593">
        <f>I11+1</f>
        <v>2</v>
      </c>
      <c r="J15" s="590">
        <f>18700-1000+55*2</f>
        <v>17810</v>
      </c>
      <c r="K15" s="591" t="s">
        <v>106</v>
      </c>
      <c r="L15" s="594">
        <f>18700+10+55*2</f>
        <v>18820</v>
      </c>
      <c r="M15" s="593">
        <v>1</v>
      </c>
      <c r="N15" s="590">
        <f>18700-1000+110*1</f>
        <v>17810</v>
      </c>
      <c r="O15" s="590">
        <f>18700-1000+110*1</f>
        <v>17810</v>
      </c>
      <c r="P15" s="594">
        <f>18700+10+110*1</f>
        <v>18820</v>
      </c>
      <c r="Q15" s="593"/>
      <c r="R15" s="590"/>
      <c r="S15" s="591"/>
      <c r="T15" s="594"/>
      <c r="U15" s="596"/>
    </row>
    <row r="16" spans="1:21" x14ac:dyDescent="0.25">
      <c r="A16" s="589">
        <f t="shared" si="1"/>
        <v>9</v>
      </c>
      <c r="B16" s="590">
        <f t="shared" si="2"/>
        <v>17823.75</v>
      </c>
      <c r="C16" s="591" t="str">
        <f t="shared" si="3"/>
        <v>/</v>
      </c>
      <c r="D16" s="592">
        <f t="shared" si="0"/>
        <v>18833.75</v>
      </c>
      <c r="E16" s="593" t="s">
        <v>127</v>
      </c>
      <c r="F16" s="590"/>
      <c r="G16" s="591"/>
      <c r="H16" s="594"/>
      <c r="I16" s="593"/>
      <c r="J16" s="590"/>
      <c r="K16" s="590"/>
      <c r="L16" s="594"/>
      <c r="M16" s="593"/>
      <c r="N16" s="590"/>
      <c r="O16" s="590"/>
      <c r="P16" s="594"/>
      <c r="Q16" s="593"/>
      <c r="R16" s="590"/>
      <c r="S16" s="591"/>
      <c r="T16" s="594"/>
      <c r="U16" s="595"/>
    </row>
    <row r="17" spans="1:21" x14ac:dyDescent="0.25">
      <c r="A17" s="589">
        <f t="shared" si="1"/>
        <v>10</v>
      </c>
      <c r="B17" s="590">
        <f t="shared" si="2"/>
        <v>17837.5</v>
      </c>
      <c r="C17" s="591" t="str">
        <f t="shared" si="3"/>
        <v>/</v>
      </c>
      <c r="D17" s="592">
        <f t="shared" si="0"/>
        <v>18847.5</v>
      </c>
      <c r="E17" s="593">
        <f>E15+1</f>
        <v>5</v>
      </c>
      <c r="F17" s="590">
        <f>18700-1000+27.5*5</f>
        <v>17837.5</v>
      </c>
      <c r="G17" s="591" t="s">
        <v>106</v>
      </c>
      <c r="H17" s="594">
        <f>18700+10+27.5*5</f>
        <v>18847.5</v>
      </c>
      <c r="I17" s="593"/>
      <c r="J17" s="590"/>
      <c r="K17" s="590"/>
      <c r="L17" s="594"/>
      <c r="M17" s="593"/>
      <c r="N17" s="590"/>
      <c r="O17" s="590"/>
      <c r="P17" s="594"/>
      <c r="Q17" s="593"/>
      <c r="R17" s="590"/>
      <c r="S17" s="591"/>
      <c r="T17" s="594"/>
      <c r="U17" s="595"/>
    </row>
    <row r="18" spans="1:21" x14ac:dyDescent="0.25">
      <c r="A18" s="589">
        <f t="shared" si="1"/>
        <v>11</v>
      </c>
      <c r="B18" s="590">
        <f t="shared" si="2"/>
        <v>17851.25</v>
      </c>
      <c r="C18" s="591" t="str">
        <f t="shared" si="3"/>
        <v>/</v>
      </c>
      <c r="D18" s="592">
        <f t="shared" si="0"/>
        <v>18861.25</v>
      </c>
      <c r="E18" s="593" t="s">
        <v>127</v>
      </c>
      <c r="F18" s="590"/>
      <c r="G18" s="591"/>
      <c r="H18" s="594"/>
      <c r="I18" s="593"/>
      <c r="J18" s="590"/>
      <c r="K18" s="590"/>
      <c r="L18" s="594"/>
      <c r="M18" s="593"/>
      <c r="N18" s="590"/>
      <c r="O18" s="590"/>
      <c r="P18" s="594"/>
      <c r="Q18" s="593"/>
      <c r="R18" s="590"/>
      <c r="S18" s="591"/>
      <c r="T18" s="594"/>
      <c r="U18" s="595"/>
    </row>
    <row r="19" spans="1:21" x14ac:dyDescent="0.25">
      <c r="A19" s="589">
        <f t="shared" si="1"/>
        <v>12</v>
      </c>
      <c r="B19" s="590">
        <f t="shared" si="2"/>
        <v>17865</v>
      </c>
      <c r="C19" s="591" t="str">
        <f t="shared" si="3"/>
        <v>/</v>
      </c>
      <c r="D19" s="592">
        <f t="shared" si="0"/>
        <v>18875</v>
      </c>
      <c r="E19" s="593">
        <f>E17+1</f>
        <v>6</v>
      </c>
      <c r="F19" s="590">
        <f>18700-1000+27.5*6</f>
        <v>17865</v>
      </c>
      <c r="G19" s="591" t="s">
        <v>106</v>
      </c>
      <c r="H19" s="594">
        <f>18700+10+27.5*6</f>
        <v>18875</v>
      </c>
      <c r="I19" s="593">
        <f>I15+1</f>
        <v>3</v>
      </c>
      <c r="J19" s="590">
        <f>18700-1000+55*3</f>
        <v>17865</v>
      </c>
      <c r="K19" s="591" t="s">
        <v>106</v>
      </c>
      <c r="L19" s="594">
        <f>18700+10+55*3</f>
        <v>18875</v>
      </c>
      <c r="M19" s="593"/>
      <c r="N19" s="590"/>
      <c r="O19" s="590"/>
      <c r="P19" s="594"/>
      <c r="Q19" s="593">
        <v>1</v>
      </c>
      <c r="R19" s="590">
        <f>18700-945+110*Q19</f>
        <v>17865</v>
      </c>
      <c r="S19" s="591" t="s">
        <v>106</v>
      </c>
      <c r="T19" s="594">
        <f>18700+65+110*Q19</f>
        <v>18875</v>
      </c>
      <c r="U19" s="595"/>
    </row>
    <row r="20" spans="1:21" x14ac:dyDescent="0.25">
      <c r="A20" s="589">
        <f t="shared" si="1"/>
        <v>13</v>
      </c>
      <c r="B20" s="590">
        <f t="shared" si="2"/>
        <v>17878.75</v>
      </c>
      <c r="C20" s="591" t="str">
        <f t="shared" si="3"/>
        <v>/</v>
      </c>
      <c r="D20" s="592">
        <f t="shared" si="0"/>
        <v>18888.75</v>
      </c>
      <c r="E20" s="593" t="s">
        <v>127</v>
      </c>
      <c r="F20" s="590"/>
      <c r="G20" s="591"/>
      <c r="H20" s="594"/>
      <c r="I20" s="593"/>
      <c r="J20" s="590"/>
      <c r="K20" s="590"/>
      <c r="L20" s="594"/>
      <c r="M20" s="593"/>
      <c r="N20" s="590"/>
      <c r="O20" s="590"/>
      <c r="P20" s="594"/>
      <c r="Q20" s="593"/>
      <c r="R20" s="590"/>
      <c r="S20" s="591"/>
      <c r="T20" s="594"/>
      <c r="U20" s="595"/>
    </row>
    <row r="21" spans="1:21" x14ac:dyDescent="0.25">
      <c r="A21" s="589">
        <f t="shared" si="1"/>
        <v>14</v>
      </c>
      <c r="B21" s="590">
        <f t="shared" si="2"/>
        <v>17892.5</v>
      </c>
      <c r="C21" s="591" t="str">
        <f t="shared" si="3"/>
        <v>/</v>
      </c>
      <c r="D21" s="592">
        <f t="shared" si="0"/>
        <v>18902.5</v>
      </c>
      <c r="E21" s="593">
        <f>E19+1</f>
        <v>7</v>
      </c>
      <c r="F21" s="590">
        <f>18700-1000+27.5*7</f>
        <v>17892.5</v>
      </c>
      <c r="G21" s="591" t="s">
        <v>106</v>
      </c>
      <c r="H21" s="594">
        <f>18700+10+27.5*7</f>
        <v>18902.5</v>
      </c>
      <c r="I21" s="593"/>
      <c r="J21" s="590"/>
      <c r="K21" s="590"/>
      <c r="L21" s="594"/>
      <c r="M21" s="593"/>
      <c r="N21" s="590"/>
      <c r="O21" s="590"/>
      <c r="P21" s="594"/>
      <c r="Q21" s="593"/>
      <c r="R21" s="590"/>
      <c r="S21" s="591"/>
      <c r="T21" s="594"/>
      <c r="U21" s="595"/>
    </row>
    <row r="22" spans="1:21" x14ac:dyDescent="0.25">
      <c r="A22" s="589">
        <f t="shared" si="1"/>
        <v>15</v>
      </c>
      <c r="B22" s="590">
        <f t="shared" si="2"/>
        <v>17906.25</v>
      </c>
      <c r="C22" s="591" t="str">
        <f t="shared" si="3"/>
        <v>/</v>
      </c>
      <c r="D22" s="592">
        <f t="shared" si="0"/>
        <v>18916.25</v>
      </c>
      <c r="E22" s="593" t="s">
        <v>127</v>
      </c>
      <c r="F22" s="590"/>
      <c r="G22" s="591"/>
      <c r="H22" s="594"/>
      <c r="I22" s="593"/>
      <c r="J22" s="590"/>
      <c r="K22" s="590"/>
      <c r="L22" s="594"/>
      <c r="M22" s="593"/>
      <c r="N22" s="590"/>
      <c r="O22" s="590"/>
      <c r="P22" s="594"/>
      <c r="Q22" s="593"/>
      <c r="R22" s="590"/>
      <c r="S22" s="591"/>
      <c r="T22" s="594"/>
      <c r="U22" s="595"/>
    </row>
    <row r="23" spans="1:21" x14ac:dyDescent="0.25">
      <c r="A23" s="589">
        <f t="shared" si="1"/>
        <v>16</v>
      </c>
      <c r="B23" s="590">
        <f t="shared" si="2"/>
        <v>17920</v>
      </c>
      <c r="C23" s="591" t="str">
        <f t="shared" si="3"/>
        <v>/</v>
      </c>
      <c r="D23" s="592">
        <f t="shared" si="0"/>
        <v>18930</v>
      </c>
      <c r="E23" s="593">
        <f>E21+1</f>
        <v>8</v>
      </c>
      <c r="F23" s="590">
        <f>18700-1000+27.5*8</f>
        <v>17920</v>
      </c>
      <c r="G23" s="591" t="s">
        <v>106</v>
      </c>
      <c r="H23" s="594">
        <f>18700+10+27.5*8</f>
        <v>18930</v>
      </c>
      <c r="I23" s="593">
        <f>I19+1</f>
        <v>4</v>
      </c>
      <c r="J23" s="590">
        <f>18700-1000+55*4</f>
        <v>17920</v>
      </c>
      <c r="K23" s="591" t="s">
        <v>106</v>
      </c>
      <c r="L23" s="594">
        <f>18700+10+55*4</f>
        <v>18930</v>
      </c>
      <c r="M23" s="593">
        <f>M15+1</f>
        <v>2</v>
      </c>
      <c r="N23" s="590">
        <f>18700-1000+110*2</f>
        <v>17920</v>
      </c>
      <c r="O23" s="591" t="s">
        <v>106</v>
      </c>
      <c r="P23" s="594">
        <f>18700+10+110*2</f>
        <v>18930</v>
      </c>
      <c r="Q23" s="593"/>
      <c r="R23" s="590"/>
      <c r="S23" s="591"/>
      <c r="T23" s="594"/>
      <c r="U23" s="595"/>
    </row>
    <row r="24" spans="1:21" x14ac:dyDescent="0.25">
      <c r="A24" s="589">
        <f t="shared" si="1"/>
        <v>17</v>
      </c>
      <c r="B24" s="590">
        <f t="shared" si="2"/>
        <v>17933.75</v>
      </c>
      <c r="C24" s="591" t="str">
        <f t="shared" si="3"/>
        <v>/</v>
      </c>
      <c r="D24" s="592">
        <f t="shared" si="0"/>
        <v>18943.75</v>
      </c>
      <c r="E24" s="593"/>
      <c r="F24" s="590"/>
      <c r="G24" s="591"/>
      <c r="H24" s="594"/>
      <c r="I24" s="593"/>
      <c r="J24" s="590"/>
      <c r="K24" s="590"/>
      <c r="L24" s="594"/>
      <c r="M24" s="593"/>
      <c r="N24" s="590"/>
      <c r="O24" s="590"/>
      <c r="P24" s="594"/>
      <c r="Q24" s="593"/>
      <c r="R24" s="590"/>
      <c r="S24" s="591"/>
      <c r="T24" s="594"/>
      <c r="U24" s="595"/>
    </row>
    <row r="25" spans="1:21" x14ac:dyDescent="0.25">
      <c r="A25" s="589">
        <f t="shared" si="1"/>
        <v>18</v>
      </c>
      <c r="B25" s="590">
        <f t="shared" si="2"/>
        <v>17947.5</v>
      </c>
      <c r="C25" s="591" t="str">
        <f t="shared" si="3"/>
        <v>/</v>
      </c>
      <c r="D25" s="592">
        <f t="shared" si="0"/>
        <v>18957.5</v>
      </c>
      <c r="E25" s="593">
        <f>E23+1</f>
        <v>9</v>
      </c>
      <c r="F25" s="590">
        <f>18700-1000+27.5*9</f>
        <v>17947.5</v>
      </c>
      <c r="G25" s="591" t="s">
        <v>106</v>
      </c>
      <c r="H25" s="594">
        <f>18700+10+27.5*9</f>
        <v>18957.5</v>
      </c>
      <c r="I25" s="593"/>
      <c r="J25" s="590"/>
      <c r="K25" s="590"/>
      <c r="L25" s="594"/>
      <c r="M25" s="593"/>
      <c r="N25" s="590"/>
      <c r="O25" s="590"/>
      <c r="P25" s="594"/>
      <c r="Q25" s="593"/>
      <c r="R25" s="590"/>
      <c r="S25" s="591"/>
      <c r="T25" s="594"/>
      <c r="U25" s="595"/>
    </row>
    <row r="26" spans="1:21" x14ac:dyDescent="0.25">
      <c r="A26" s="589">
        <f t="shared" si="1"/>
        <v>19</v>
      </c>
      <c r="B26" s="590">
        <f t="shared" si="2"/>
        <v>17961.25</v>
      </c>
      <c r="C26" s="591" t="str">
        <f t="shared" si="3"/>
        <v>/</v>
      </c>
      <c r="D26" s="592">
        <f t="shared" si="0"/>
        <v>18971.25</v>
      </c>
      <c r="E26" s="593"/>
      <c r="F26" s="590"/>
      <c r="G26" s="591"/>
      <c r="H26" s="594"/>
      <c r="I26" s="593"/>
      <c r="J26" s="590"/>
      <c r="K26" s="590"/>
      <c r="L26" s="594"/>
      <c r="M26" s="593"/>
      <c r="N26" s="590"/>
      <c r="O26" s="590"/>
      <c r="P26" s="594"/>
      <c r="Q26" s="593"/>
      <c r="R26" s="590"/>
      <c r="S26" s="591"/>
      <c r="T26" s="594"/>
      <c r="U26" s="595"/>
    </row>
    <row r="27" spans="1:21" x14ac:dyDescent="0.25">
      <c r="A27" s="589">
        <f t="shared" si="1"/>
        <v>20</v>
      </c>
      <c r="B27" s="590">
        <f t="shared" si="2"/>
        <v>17975</v>
      </c>
      <c r="C27" s="591" t="str">
        <f t="shared" si="3"/>
        <v>/</v>
      </c>
      <c r="D27" s="592">
        <f t="shared" si="0"/>
        <v>18985</v>
      </c>
      <c r="E27" s="593">
        <f>E25+1</f>
        <v>10</v>
      </c>
      <c r="F27" s="590">
        <f>18700-1000+27.5*10</f>
        <v>17975</v>
      </c>
      <c r="G27" s="591" t="s">
        <v>106</v>
      </c>
      <c r="H27" s="594">
        <f>18700+10+27.5*10</f>
        <v>18985</v>
      </c>
      <c r="I27" s="593">
        <f>I23+1</f>
        <v>5</v>
      </c>
      <c r="J27" s="590">
        <f>18700-1000+55*5</f>
        <v>17975</v>
      </c>
      <c r="K27" s="591" t="s">
        <v>106</v>
      </c>
      <c r="L27" s="594">
        <f>18700+10+55*5</f>
        <v>18985</v>
      </c>
      <c r="M27" s="593"/>
      <c r="N27" s="590"/>
      <c r="O27" s="590"/>
      <c r="P27" s="594"/>
      <c r="Q27" s="593">
        <v>2</v>
      </c>
      <c r="R27" s="590">
        <f>18700-945+110*Q27</f>
        <v>17975</v>
      </c>
      <c r="S27" s="591" t="s">
        <v>106</v>
      </c>
      <c r="T27" s="594">
        <f>18700+65+110*Q27</f>
        <v>18985</v>
      </c>
      <c r="U27" s="595" t="s">
        <v>180</v>
      </c>
    </row>
    <row r="28" spans="1:21" x14ac:dyDescent="0.25">
      <c r="A28" s="589">
        <f t="shared" si="1"/>
        <v>21</v>
      </c>
      <c r="B28" s="590">
        <f t="shared" si="2"/>
        <v>17988.75</v>
      </c>
      <c r="C28" s="591" t="str">
        <f t="shared" si="3"/>
        <v>/</v>
      </c>
      <c r="D28" s="592">
        <f t="shared" si="0"/>
        <v>18998.75</v>
      </c>
      <c r="E28" s="593"/>
      <c r="F28" s="590"/>
      <c r="G28" s="591"/>
      <c r="H28" s="594"/>
      <c r="I28" s="593"/>
      <c r="J28" s="590"/>
      <c r="K28" s="590"/>
      <c r="L28" s="594"/>
      <c r="M28" s="593"/>
      <c r="N28" s="590"/>
      <c r="O28" s="590"/>
      <c r="P28" s="594"/>
      <c r="Q28" s="593"/>
      <c r="R28" s="590"/>
      <c r="S28" s="591"/>
      <c r="T28" s="594"/>
      <c r="U28" s="595"/>
    </row>
    <row r="29" spans="1:21" x14ac:dyDescent="0.25">
      <c r="A29" s="589">
        <f t="shared" si="1"/>
        <v>22</v>
      </c>
      <c r="B29" s="590">
        <f t="shared" si="2"/>
        <v>18002.5</v>
      </c>
      <c r="C29" s="591" t="str">
        <f t="shared" si="3"/>
        <v>/</v>
      </c>
      <c r="D29" s="592">
        <f t="shared" si="0"/>
        <v>19012.5</v>
      </c>
      <c r="E29" s="593">
        <f>E27+1</f>
        <v>11</v>
      </c>
      <c r="F29" s="590">
        <f>18700-1000+27.5*11</f>
        <v>18002.5</v>
      </c>
      <c r="G29" s="591" t="s">
        <v>106</v>
      </c>
      <c r="H29" s="594">
        <f>18700+10+27.5*11</f>
        <v>19012.5</v>
      </c>
      <c r="I29" s="593"/>
      <c r="J29" s="590"/>
      <c r="K29" s="590"/>
      <c r="L29" s="594"/>
      <c r="M29" s="593"/>
      <c r="N29" s="590"/>
      <c r="O29" s="590"/>
      <c r="P29" s="594"/>
      <c r="Q29" s="593"/>
      <c r="R29" s="590"/>
      <c r="S29" s="591"/>
      <c r="T29" s="594"/>
      <c r="U29" s="595" t="s">
        <v>181</v>
      </c>
    </row>
    <row r="30" spans="1:21" x14ac:dyDescent="0.25">
      <c r="A30" s="589">
        <f t="shared" si="1"/>
        <v>23</v>
      </c>
      <c r="B30" s="590">
        <f t="shared" si="2"/>
        <v>18016.25</v>
      </c>
      <c r="C30" s="591" t="str">
        <f t="shared" si="3"/>
        <v>/</v>
      </c>
      <c r="D30" s="592">
        <f t="shared" si="0"/>
        <v>19026.25</v>
      </c>
      <c r="E30" s="593"/>
      <c r="F30" s="590"/>
      <c r="G30" s="591"/>
      <c r="H30" s="594"/>
      <c r="I30" s="593"/>
      <c r="J30" s="590"/>
      <c r="K30" s="590"/>
      <c r="L30" s="594"/>
      <c r="M30" s="593"/>
      <c r="N30" s="590"/>
      <c r="O30" s="590"/>
      <c r="P30" s="594"/>
      <c r="Q30" s="593"/>
      <c r="R30" s="590"/>
      <c r="S30" s="591"/>
      <c r="T30" s="594"/>
      <c r="U30" s="595" t="s">
        <v>182</v>
      </c>
    </row>
    <row r="31" spans="1:21" x14ac:dyDescent="0.25">
      <c r="A31" s="589">
        <f t="shared" si="1"/>
        <v>24</v>
      </c>
      <c r="B31" s="590">
        <f t="shared" si="2"/>
        <v>18030</v>
      </c>
      <c r="C31" s="591" t="str">
        <f t="shared" si="3"/>
        <v>/</v>
      </c>
      <c r="D31" s="592">
        <f t="shared" si="0"/>
        <v>19040</v>
      </c>
      <c r="E31" s="593">
        <f>E29+1</f>
        <v>12</v>
      </c>
      <c r="F31" s="590">
        <f>18700-1000+27.5*12</f>
        <v>18030</v>
      </c>
      <c r="G31" s="591" t="s">
        <v>106</v>
      </c>
      <c r="H31" s="594">
        <f>18700+10+27.5*12</f>
        <v>19040</v>
      </c>
      <c r="I31" s="593">
        <f>I27+1</f>
        <v>6</v>
      </c>
      <c r="J31" s="590">
        <f>18700-1000+55*6</f>
        <v>18030</v>
      </c>
      <c r="K31" s="591" t="s">
        <v>106</v>
      </c>
      <c r="L31" s="594">
        <f>18700+10+55*6</f>
        <v>19040</v>
      </c>
      <c r="M31" s="593">
        <f>M23+1</f>
        <v>3</v>
      </c>
      <c r="N31" s="590">
        <f>18700-1000+110*3</f>
        <v>18030</v>
      </c>
      <c r="O31" s="591" t="s">
        <v>106</v>
      </c>
      <c r="P31" s="594">
        <f>18700+10+110*3</f>
        <v>19040</v>
      </c>
      <c r="Q31" s="593"/>
      <c r="R31" s="590"/>
      <c r="S31" s="591"/>
      <c r="T31" s="594"/>
      <c r="U31" s="595"/>
    </row>
    <row r="32" spans="1:21" x14ac:dyDescent="0.25">
      <c r="A32" s="589">
        <f t="shared" si="1"/>
        <v>25</v>
      </c>
      <c r="B32" s="590">
        <f t="shared" si="2"/>
        <v>18043.75</v>
      </c>
      <c r="C32" s="591" t="str">
        <f t="shared" si="3"/>
        <v>/</v>
      </c>
      <c r="D32" s="592">
        <f t="shared" si="0"/>
        <v>19053.75</v>
      </c>
      <c r="E32" s="593"/>
      <c r="F32" s="590"/>
      <c r="G32" s="591"/>
      <c r="H32" s="594"/>
      <c r="I32" s="593"/>
      <c r="J32" s="590"/>
      <c r="K32" s="590"/>
      <c r="L32" s="594"/>
      <c r="M32" s="593"/>
      <c r="N32" s="590"/>
      <c r="O32" s="590"/>
      <c r="P32" s="594"/>
      <c r="Q32" s="593"/>
      <c r="R32" s="590"/>
      <c r="S32" s="591"/>
      <c r="T32" s="594"/>
      <c r="U32" s="595"/>
    </row>
    <row r="33" spans="1:21" x14ac:dyDescent="0.25">
      <c r="A33" s="589">
        <f t="shared" si="1"/>
        <v>26</v>
      </c>
      <c r="B33" s="590">
        <f t="shared" si="2"/>
        <v>18057.5</v>
      </c>
      <c r="C33" s="591" t="str">
        <f t="shared" si="3"/>
        <v>/</v>
      </c>
      <c r="D33" s="592">
        <f t="shared" si="0"/>
        <v>19067.5</v>
      </c>
      <c r="E33" s="593">
        <f>E31+1</f>
        <v>13</v>
      </c>
      <c r="F33" s="590">
        <f>18700-1000+27.5*13</f>
        <v>18057.5</v>
      </c>
      <c r="G33" s="591" t="s">
        <v>106</v>
      </c>
      <c r="H33" s="594">
        <f>18700+10+27.5*13</f>
        <v>19067.5</v>
      </c>
      <c r="I33" s="593"/>
      <c r="J33" s="590"/>
      <c r="K33" s="590"/>
      <c r="L33" s="594"/>
      <c r="M33" s="593"/>
      <c r="N33" s="590"/>
      <c r="O33" s="590"/>
      <c r="P33" s="594"/>
      <c r="Q33" s="593"/>
      <c r="R33" s="590"/>
      <c r="S33" s="591"/>
      <c r="T33" s="594"/>
      <c r="U33" s="595"/>
    </row>
    <row r="34" spans="1:21" x14ac:dyDescent="0.25">
      <c r="A34" s="589">
        <f t="shared" si="1"/>
        <v>27</v>
      </c>
      <c r="B34" s="590">
        <f t="shared" si="2"/>
        <v>18071.25</v>
      </c>
      <c r="C34" s="591" t="str">
        <f t="shared" si="3"/>
        <v>/</v>
      </c>
      <c r="D34" s="592">
        <f t="shared" si="0"/>
        <v>19081.25</v>
      </c>
      <c r="E34" s="593"/>
      <c r="F34" s="590"/>
      <c r="G34" s="591"/>
      <c r="H34" s="594"/>
      <c r="I34" s="593"/>
      <c r="J34" s="590"/>
      <c r="K34" s="590"/>
      <c r="L34" s="594"/>
      <c r="M34" s="593"/>
      <c r="N34" s="590"/>
      <c r="O34" s="590"/>
      <c r="P34" s="594"/>
      <c r="Q34" s="593"/>
      <c r="R34" s="590"/>
      <c r="S34" s="591"/>
      <c r="T34" s="594"/>
      <c r="U34" s="595"/>
    </row>
    <row r="35" spans="1:21" x14ac:dyDescent="0.25">
      <c r="A35" s="589">
        <f t="shared" si="1"/>
        <v>28</v>
      </c>
      <c r="B35" s="590">
        <f t="shared" si="2"/>
        <v>18085</v>
      </c>
      <c r="C35" s="591" t="str">
        <f t="shared" si="3"/>
        <v>/</v>
      </c>
      <c r="D35" s="592">
        <f t="shared" si="0"/>
        <v>19095</v>
      </c>
      <c r="E35" s="593">
        <f>E33+1</f>
        <v>14</v>
      </c>
      <c r="F35" s="590">
        <f>18700-1000+27.5*14</f>
        <v>18085</v>
      </c>
      <c r="G35" s="591" t="s">
        <v>106</v>
      </c>
      <c r="H35" s="594">
        <f>18700+10+27.5*14</f>
        <v>19095</v>
      </c>
      <c r="I35" s="593">
        <f>I31+1</f>
        <v>7</v>
      </c>
      <c r="J35" s="590">
        <f>18700-1000+55*7</f>
        <v>18085</v>
      </c>
      <c r="K35" s="591" t="s">
        <v>106</v>
      </c>
      <c r="L35" s="594">
        <f>18700+10+55*7</f>
        <v>19095</v>
      </c>
      <c r="M35" s="593"/>
      <c r="N35" s="590"/>
      <c r="O35" s="590"/>
      <c r="P35" s="594"/>
      <c r="Q35" s="593">
        <v>3</v>
      </c>
      <c r="R35" s="590">
        <f>18700-945+110*Q35</f>
        <v>18085</v>
      </c>
      <c r="S35" s="591" t="s">
        <v>106</v>
      </c>
      <c r="T35" s="594">
        <f>18700+65+110*Q35</f>
        <v>19095</v>
      </c>
      <c r="U35" s="595"/>
    </row>
    <row r="36" spans="1:21" x14ac:dyDescent="0.25">
      <c r="A36" s="589">
        <f t="shared" si="1"/>
        <v>29</v>
      </c>
      <c r="B36" s="590">
        <f t="shared" si="2"/>
        <v>18098.75</v>
      </c>
      <c r="C36" s="591" t="str">
        <f t="shared" si="3"/>
        <v>/</v>
      </c>
      <c r="D36" s="592">
        <f t="shared" si="0"/>
        <v>19108.75</v>
      </c>
      <c r="E36" s="593"/>
      <c r="F36" s="590"/>
      <c r="G36" s="591"/>
      <c r="H36" s="594"/>
      <c r="I36" s="593"/>
      <c r="J36" s="590"/>
      <c r="K36" s="590"/>
      <c r="L36" s="594"/>
      <c r="M36" s="589"/>
      <c r="N36" s="590"/>
      <c r="O36" s="590"/>
      <c r="P36" s="592"/>
      <c r="Q36" s="589"/>
      <c r="R36" s="590"/>
      <c r="S36" s="591"/>
      <c r="T36" s="592"/>
      <c r="U36" s="595"/>
    </row>
    <row r="37" spans="1:21" x14ac:dyDescent="0.25">
      <c r="A37" s="589">
        <f t="shared" si="1"/>
        <v>30</v>
      </c>
      <c r="B37" s="590">
        <f t="shared" si="2"/>
        <v>18112.5</v>
      </c>
      <c r="C37" s="591" t="str">
        <f t="shared" si="3"/>
        <v>/</v>
      </c>
      <c r="D37" s="592">
        <f t="shared" si="0"/>
        <v>19122.5</v>
      </c>
      <c r="E37" s="593">
        <f>E35+1</f>
        <v>15</v>
      </c>
      <c r="F37" s="590">
        <f>18700-1000+27.5*15</f>
        <v>18112.5</v>
      </c>
      <c r="G37" s="591" t="s">
        <v>106</v>
      </c>
      <c r="H37" s="594">
        <f>18700+10+27.5*15</f>
        <v>19122.5</v>
      </c>
      <c r="I37" s="37"/>
      <c r="J37" s="38"/>
      <c r="K37" s="38"/>
      <c r="L37" s="39"/>
      <c r="M37" s="593"/>
      <c r="N37" s="590"/>
      <c r="O37" s="590"/>
      <c r="P37" s="594"/>
      <c r="Q37" s="593"/>
      <c r="R37" s="590"/>
      <c r="S37" s="591"/>
      <c r="T37" s="594"/>
      <c r="U37" s="595"/>
    </row>
    <row r="38" spans="1:21" x14ac:dyDescent="0.25">
      <c r="A38" s="40">
        <f t="shared" si="1"/>
        <v>31</v>
      </c>
      <c r="B38" s="38">
        <f t="shared" si="2"/>
        <v>18126.25</v>
      </c>
      <c r="C38" s="42" t="str">
        <f t="shared" si="3"/>
        <v>/</v>
      </c>
      <c r="D38" s="41">
        <f t="shared" si="0"/>
        <v>19136.25</v>
      </c>
      <c r="E38" s="37"/>
      <c r="F38" s="38"/>
      <c r="G38" s="42"/>
      <c r="H38" s="39"/>
      <c r="I38" s="40"/>
      <c r="J38" s="38"/>
      <c r="K38" s="38"/>
      <c r="L38" s="41"/>
      <c r="M38" s="593"/>
      <c r="N38" s="590"/>
      <c r="O38" s="590"/>
      <c r="P38" s="594"/>
      <c r="Q38" s="593"/>
      <c r="R38" s="590"/>
      <c r="S38" s="591"/>
      <c r="T38" s="594"/>
      <c r="U38" s="43"/>
    </row>
    <row r="39" spans="1:21" x14ac:dyDescent="0.25">
      <c r="A39" s="40">
        <f t="shared" si="1"/>
        <v>32</v>
      </c>
      <c r="B39" s="38">
        <f t="shared" si="2"/>
        <v>18140</v>
      </c>
      <c r="C39" s="42" t="str">
        <f t="shared" si="3"/>
        <v>/</v>
      </c>
      <c r="D39" s="41">
        <f t="shared" si="0"/>
        <v>19150</v>
      </c>
      <c r="E39" s="37">
        <f>E37+1</f>
        <v>16</v>
      </c>
      <c r="F39" s="38">
        <f>18700-1000+27.5*16</f>
        <v>18140</v>
      </c>
      <c r="G39" s="42" t="s">
        <v>106</v>
      </c>
      <c r="H39" s="39">
        <f>18700+10+27.5*16</f>
        <v>19150</v>
      </c>
      <c r="I39" s="37">
        <f>I35+1</f>
        <v>8</v>
      </c>
      <c r="J39" s="38">
        <f>18700-1000+55*8</f>
        <v>18140</v>
      </c>
      <c r="K39" s="42" t="s">
        <v>106</v>
      </c>
      <c r="L39" s="39">
        <f>18700+10+55*8</f>
        <v>19150</v>
      </c>
      <c r="M39" s="593">
        <f>M31+1</f>
        <v>4</v>
      </c>
      <c r="N39" s="590">
        <f>18700-1000+110*4</f>
        <v>18140</v>
      </c>
      <c r="O39" s="591" t="s">
        <v>106</v>
      </c>
      <c r="P39" s="594">
        <f>18700+10+110*4</f>
        <v>19150</v>
      </c>
      <c r="Q39" s="593"/>
      <c r="R39" s="590"/>
      <c r="S39" s="591"/>
      <c r="T39" s="594"/>
      <c r="U39" s="43"/>
    </row>
    <row r="40" spans="1:21" x14ac:dyDescent="0.25">
      <c r="A40" s="40">
        <f t="shared" si="1"/>
        <v>33</v>
      </c>
      <c r="B40" s="38">
        <f t="shared" si="2"/>
        <v>18153.75</v>
      </c>
      <c r="C40" s="42" t="str">
        <f t="shared" si="3"/>
        <v>/</v>
      </c>
      <c r="D40" s="41">
        <f t="shared" si="0"/>
        <v>19163.75</v>
      </c>
      <c r="E40" s="37"/>
      <c r="F40" s="38"/>
      <c r="G40" s="42"/>
      <c r="H40" s="39"/>
      <c r="I40" s="37"/>
      <c r="J40" s="38"/>
      <c r="K40" s="38"/>
      <c r="L40" s="39"/>
      <c r="M40" s="37"/>
      <c r="N40" s="38"/>
      <c r="O40" s="38"/>
      <c r="P40" s="39"/>
      <c r="Q40" s="593"/>
      <c r="R40" s="590"/>
      <c r="S40" s="591"/>
      <c r="T40" s="594"/>
      <c r="U40" s="43"/>
    </row>
    <row r="41" spans="1:21" x14ac:dyDescent="0.25">
      <c r="A41" s="40">
        <f t="shared" si="1"/>
        <v>34</v>
      </c>
      <c r="B41" s="38">
        <f t="shared" si="2"/>
        <v>18167.5</v>
      </c>
      <c r="C41" s="42" t="str">
        <f t="shared" si="3"/>
        <v>/</v>
      </c>
      <c r="D41" s="41">
        <f t="shared" si="0"/>
        <v>19177.5</v>
      </c>
      <c r="E41" s="37">
        <f>E39+1</f>
        <v>17</v>
      </c>
      <c r="F41" s="38">
        <f>18700-1000+27.5*17</f>
        <v>18167.5</v>
      </c>
      <c r="G41" s="42" t="s">
        <v>106</v>
      </c>
      <c r="H41" s="39">
        <f>18700+10+27.5*17</f>
        <v>19177.5</v>
      </c>
      <c r="I41" s="37"/>
      <c r="J41" s="38"/>
      <c r="K41" s="38"/>
      <c r="L41" s="39"/>
      <c r="M41" s="37"/>
      <c r="N41" s="38"/>
      <c r="O41" s="38"/>
      <c r="P41" s="39"/>
      <c r="Q41" s="593"/>
      <c r="R41" s="590"/>
      <c r="S41" s="591"/>
      <c r="T41" s="594"/>
      <c r="U41" s="43"/>
    </row>
    <row r="42" spans="1:21" x14ac:dyDescent="0.25">
      <c r="A42" s="40">
        <f t="shared" si="1"/>
        <v>35</v>
      </c>
      <c r="B42" s="38">
        <f t="shared" si="2"/>
        <v>18181.25</v>
      </c>
      <c r="C42" s="42" t="str">
        <f t="shared" si="3"/>
        <v>/</v>
      </c>
      <c r="D42" s="41">
        <f t="shared" si="0"/>
        <v>19191.25</v>
      </c>
      <c r="E42" s="37"/>
      <c r="F42" s="38"/>
      <c r="G42" s="42"/>
      <c r="H42" s="39"/>
      <c r="I42" s="37"/>
      <c r="J42" s="38"/>
      <c r="K42" s="38"/>
      <c r="L42" s="39"/>
      <c r="M42" s="37"/>
      <c r="N42" s="38"/>
      <c r="O42" s="38"/>
      <c r="P42" s="39"/>
      <c r="Q42" s="593"/>
      <c r="R42" s="590"/>
      <c r="S42" s="591"/>
      <c r="T42" s="594"/>
      <c r="U42" s="43"/>
    </row>
    <row r="43" spans="1:21" x14ac:dyDescent="0.25">
      <c r="A43" s="40">
        <f t="shared" si="1"/>
        <v>36</v>
      </c>
      <c r="B43" s="38">
        <f t="shared" si="2"/>
        <v>18195</v>
      </c>
      <c r="C43" s="42" t="str">
        <f t="shared" si="3"/>
        <v>/</v>
      </c>
      <c r="D43" s="41">
        <f t="shared" si="0"/>
        <v>19205</v>
      </c>
      <c r="E43" s="37">
        <f>E41+1</f>
        <v>18</v>
      </c>
      <c r="F43" s="38">
        <f>18700-1000+27.5*18</f>
        <v>18195</v>
      </c>
      <c r="G43" s="42" t="s">
        <v>106</v>
      </c>
      <c r="H43" s="39">
        <f>18700+10+27.5*18</f>
        <v>19205</v>
      </c>
      <c r="I43" s="37">
        <f>I39+1</f>
        <v>9</v>
      </c>
      <c r="J43" s="38">
        <f>18700-1000+55*9</f>
        <v>18195</v>
      </c>
      <c r="K43" s="42" t="s">
        <v>106</v>
      </c>
      <c r="L43" s="39">
        <f>18700+10+55*9</f>
        <v>19205</v>
      </c>
      <c r="M43" s="37"/>
      <c r="N43" s="38"/>
      <c r="O43" s="38"/>
      <c r="P43" s="39"/>
      <c r="Q43" s="593">
        <v>4</v>
      </c>
      <c r="R43" s="590">
        <f>18700-945+110*Q43</f>
        <v>18195</v>
      </c>
      <c r="S43" s="591" t="s">
        <v>106</v>
      </c>
      <c r="T43" s="594">
        <f>18700+65+110*Q43</f>
        <v>19205</v>
      </c>
      <c r="U43" s="43"/>
    </row>
    <row r="44" spans="1:21" x14ac:dyDescent="0.25">
      <c r="A44" s="40">
        <f t="shared" si="1"/>
        <v>37</v>
      </c>
      <c r="B44" s="38">
        <f t="shared" si="2"/>
        <v>18208.75</v>
      </c>
      <c r="C44" s="42" t="str">
        <f t="shared" si="3"/>
        <v>/</v>
      </c>
      <c r="D44" s="41">
        <f t="shared" si="0"/>
        <v>19218.75</v>
      </c>
      <c r="E44" s="37"/>
      <c r="F44" s="38"/>
      <c r="G44" s="42"/>
      <c r="H44" s="39"/>
      <c r="I44" s="37"/>
      <c r="J44" s="38"/>
      <c r="K44" s="38"/>
      <c r="L44" s="39"/>
      <c r="M44" s="37"/>
      <c r="N44" s="38"/>
      <c r="O44" s="38"/>
      <c r="P44" s="39"/>
      <c r="Q44" s="37"/>
      <c r="R44" s="38"/>
      <c r="S44" s="42"/>
      <c r="T44" s="39"/>
      <c r="U44" s="43"/>
    </row>
    <row r="45" spans="1:21" x14ac:dyDescent="0.25">
      <c r="A45" s="40">
        <f t="shared" si="1"/>
        <v>38</v>
      </c>
      <c r="B45" s="38">
        <f t="shared" si="2"/>
        <v>18222.5</v>
      </c>
      <c r="C45" s="42" t="str">
        <f t="shared" si="3"/>
        <v>/</v>
      </c>
      <c r="D45" s="41">
        <f t="shared" si="0"/>
        <v>19232.5</v>
      </c>
      <c r="E45" s="37">
        <f>E43+1</f>
        <v>19</v>
      </c>
      <c r="F45" s="38">
        <f>18700-1000+27.5*19</f>
        <v>18222.5</v>
      </c>
      <c r="G45" s="42" t="s">
        <v>106</v>
      </c>
      <c r="H45" s="39">
        <f>18700+10+27.5*19</f>
        <v>19232.5</v>
      </c>
      <c r="I45" s="37"/>
      <c r="J45" s="38"/>
      <c r="K45" s="38"/>
      <c r="L45" s="39"/>
      <c r="M45" s="37"/>
      <c r="N45" s="38"/>
      <c r="O45" s="38"/>
      <c r="P45" s="39"/>
      <c r="Q45" s="37"/>
      <c r="R45" s="38"/>
      <c r="S45" s="42"/>
      <c r="T45" s="39"/>
      <c r="U45" s="43"/>
    </row>
    <row r="46" spans="1:21" x14ac:dyDescent="0.25">
      <c r="A46" s="40">
        <f t="shared" si="1"/>
        <v>39</v>
      </c>
      <c r="B46" s="38">
        <f t="shared" si="2"/>
        <v>18236.25</v>
      </c>
      <c r="C46" s="42" t="str">
        <f t="shared" si="3"/>
        <v>/</v>
      </c>
      <c r="D46" s="41">
        <f t="shared" si="0"/>
        <v>19246.25</v>
      </c>
      <c r="E46" s="37"/>
      <c r="F46" s="38"/>
      <c r="G46" s="42"/>
      <c r="H46" s="39"/>
      <c r="I46" s="37"/>
      <c r="J46" s="38"/>
      <c r="K46" s="38"/>
      <c r="L46" s="39"/>
      <c r="M46" s="37"/>
      <c r="N46" s="38"/>
      <c r="O46" s="38"/>
      <c r="P46" s="39"/>
      <c r="Q46" s="37"/>
      <c r="R46" s="38"/>
      <c r="S46" s="42"/>
      <c r="T46" s="39"/>
      <c r="U46" s="43"/>
    </row>
    <row r="47" spans="1:21" x14ac:dyDescent="0.25">
      <c r="A47" s="40">
        <f t="shared" si="1"/>
        <v>40</v>
      </c>
      <c r="B47" s="38">
        <f t="shared" si="2"/>
        <v>18250</v>
      </c>
      <c r="C47" s="42" t="str">
        <f t="shared" si="3"/>
        <v>/</v>
      </c>
      <c r="D47" s="41">
        <f t="shared" si="0"/>
        <v>19260</v>
      </c>
      <c r="E47" s="37">
        <f>E45+1</f>
        <v>20</v>
      </c>
      <c r="F47" s="38">
        <f>18700-1000+27.5*20</f>
        <v>18250</v>
      </c>
      <c r="G47" s="42" t="s">
        <v>106</v>
      </c>
      <c r="H47" s="39">
        <f>18700+10+27.5*20</f>
        <v>19260</v>
      </c>
      <c r="I47" s="37">
        <f>I43+1</f>
        <v>10</v>
      </c>
      <c r="J47" s="38">
        <f>18700-1000+55*10</f>
        <v>18250</v>
      </c>
      <c r="K47" s="42" t="s">
        <v>106</v>
      </c>
      <c r="L47" s="39">
        <f>18700+10+55*10</f>
        <v>19260</v>
      </c>
      <c r="M47" s="37">
        <f>M39+1</f>
        <v>5</v>
      </c>
      <c r="N47" s="38">
        <f>18700-1000+110*5</f>
        <v>18250</v>
      </c>
      <c r="O47" s="42" t="s">
        <v>106</v>
      </c>
      <c r="P47" s="39">
        <f>18700+10+110*5</f>
        <v>19260</v>
      </c>
      <c r="Q47" s="37"/>
      <c r="R47" s="38"/>
      <c r="S47" s="42"/>
      <c r="T47" s="39"/>
      <c r="U47" s="43" t="s">
        <v>171</v>
      </c>
    </row>
    <row r="48" spans="1:21" x14ac:dyDescent="0.25">
      <c r="A48" s="40">
        <f t="shared" si="1"/>
        <v>41</v>
      </c>
      <c r="B48" s="38">
        <f t="shared" si="2"/>
        <v>18263.75</v>
      </c>
      <c r="C48" s="42" t="str">
        <f t="shared" si="3"/>
        <v>/</v>
      </c>
      <c r="D48" s="41">
        <f t="shared" si="0"/>
        <v>19273.75</v>
      </c>
      <c r="E48" s="37"/>
      <c r="F48" s="38"/>
      <c r="G48" s="42"/>
      <c r="H48" s="39"/>
      <c r="I48" s="37"/>
      <c r="J48" s="38"/>
      <c r="K48" s="38"/>
      <c r="L48" s="39"/>
      <c r="M48" s="37"/>
      <c r="N48" s="38"/>
      <c r="O48" s="38"/>
      <c r="P48" s="39"/>
      <c r="Q48" s="37"/>
      <c r="R48" s="38"/>
      <c r="S48" s="42"/>
      <c r="T48" s="39"/>
      <c r="U48" s="43"/>
    </row>
    <row r="49" spans="1:21" x14ac:dyDescent="0.25">
      <c r="A49" s="40">
        <f t="shared" si="1"/>
        <v>42</v>
      </c>
      <c r="B49" s="38">
        <f t="shared" si="2"/>
        <v>18277.5</v>
      </c>
      <c r="C49" s="42" t="str">
        <f t="shared" si="3"/>
        <v>/</v>
      </c>
      <c r="D49" s="41">
        <f t="shared" si="0"/>
        <v>19287.5</v>
      </c>
      <c r="E49" s="37">
        <f>E47+1</f>
        <v>21</v>
      </c>
      <c r="F49" s="38">
        <f>18700-1000+27.5*21</f>
        <v>18277.5</v>
      </c>
      <c r="G49" s="42" t="s">
        <v>106</v>
      </c>
      <c r="H49" s="39">
        <f>18700+10+27.5*21</f>
        <v>19287.5</v>
      </c>
      <c r="I49" s="37"/>
      <c r="J49" s="38"/>
      <c r="K49" s="38"/>
      <c r="L49" s="39"/>
      <c r="M49" s="37"/>
      <c r="N49" s="38"/>
      <c r="O49" s="38"/>
      <c r="P49" s="39"/>
      <c r="Q49" s="37"/>
      <c r="R49" s="38"/>
      <c r="S49" s="42"/>
      <c r="T49" s="39"/>
      <c r="U49" s="43"/>
    </row>
    <row r="50" spans="1:21" x14ac:dyDescent="0.25">
      <c r="A50" s="40">
        <f t="shared" si="1"/>
        <v>43</v>
      </c>
      <c r="B50" s="38">
        <f t="shared" si="2"/>
        <v>18291.25</v>
      </c>
      <c r="C50" s="42" t="str">
        <f t="shared" si="3"/>
        <v>/</v>
      </c>
      <c r="D50" s="41">
        <f t="shared" si="0"/>
        <v>19301.25</v>
      </c>
      <c r="E50" s="37"/>
      <c r="F50" s="38"/>
      <c r="G50" s="42"/>
      <c r="H50" s="39"/>
      <c r="I50" s="37"/>
      <c r="J50" s="38"/>
      <c r="K50" s="38"/>
      <c r="L50" s="39"/>
      <c r="M50" s="37"/>
      <c r="N50" s="38"/>
      <c r="O50" s="38"/>
      <c r="P50" s="39"/>
      <c r="Q50" s="37"/>
      <c r="R50" s="38"/>
      <c r="S50" s="42"/>
      <c r="T50" s="39"/>
      <c r="U50" s="43"/>
    </row>
    <row r="51" spans="1:21" x14ac:dyDescent="0.25">
      <c r="A51" s="40">
        <f t="shared" si="1"/>
        <v>44</v>
      </c>
      <c r="B51" s="38">
        <f t="shared" si="2"/>
        <v>18305</v>
      </c>
      <c r="C51" s="42" t="str">
        <f t="shared" si="3"/>
        <v>/</v>
      </c>
      <c r="D51" s="41">
        <f t="shared" si="0"/>
        <v>19315</v>
      </c>
      <c r="E51" s="37">
        <f>E49+1</f>
        <v>22</v>
      </c>
      <c r="F51" s="38">
        <f>18700-1000+27.5*22</f>
        <v>18305</v>
      </c>
      <c r="G51" s="42" t="s">
        <v>106</v>
      </c>
      <c r="H51" s="39">
        <f>18700+10+27.5*22</f>
        <v>19315</v>
      </c>
      <c r="I51" s="37">
        <f>I47+1</f>
        <v>11</v>
      </c>
      <c r="J51" s="38">
        <f>18700-1000+55*11</f>
        <v>18305</v>
      </c>
      <c r="K51" s="42" t="s">
        <v>106</v>
      </c>
      <c r="L51" s="39">
        <f>18700+10+55*11</f>
        <v>19315</v>
      </c>
      <c r="M51" s="37"/>
      <c r="N51" s="38"/>
      <c r="O51" s="38"/>
      <c r="P51" s="39"/>
      <c r="Q51" s="37">
        <v>5</v>
      </c>
      <c r="R51" s="38">
        <f>18700-945+110*Q51</f>
        <v>18305</v>
      </c>
      <c r="S51" s="42" t="s">
        <v>106</v>
      </c>
      <c r="T51" s="39">
        <f>18700+65+110*Q51</f>
        <v>19315</v>
      </c>
      <c r="U51" s="43"/>
    </row>
    <row r="52" spans="1:21" x14ac:dyDescent="0.25">
      <c r="A52" s="40">
        <f t="shared" si="1"/>
        <v>45</v>
      </c>
      <c r="B52" s="38">
        <f t="shared" si="2"/>
        <v>18318.75</v>
      </c>
      <c r="C52" s="42" t="str">
        <f t="shared" si="3"/>
        <v>/</v>
      </c>
      <c r="D52" s="41">
        <f t="shared" si="0"/>
        <v>19328.75</v>
      </c>
      <c r="E52" s="37"/>
      <c r="F52" s="38"/>
      <c r="G52" s="42"/>
      <c r="H52" s="39"/>
      <c r="I52" s="37"/>
      <c r="J52" s="38"/>
      <c r="K52" s="38"/>
      <c r="L52" s="39"/>
      <c r="M52" s="37"/>
      <c r="N52" s="38"/>
      <c r="O52" s="38"/>
      <c r="P52" s="39"/>
      <c r="Q52" s="37"/>
      <c r="R52" s="38"/>
      <c r="S52" s="42"/>
      <c r="T52" s="39"/>
      <c r="U52" s="43"/>
    </row>
    <row r="53" spans="1:21" x14ac:dyDescent="0.25">
      <c r="A53" s="40">
        <f t="shared" si="1"/>
        <v>46</v>
      </c>
      <c r="B53" s="38">
        <f t="shared" si="2"/>
        <v>18332.5</v>
      </c>
      <c r="C53" s="42" t="str">
        <f t="shared" si="3"/>
        <v>/</v>
      </c>
      <c r="D53" s="41">
        <f t="shared" si="0"/>
        <v>19342.5</v>
      </c>
      <c r="E53" s="37">
        <f>E51+1</f>
        <v>23</v>
      </c>
      <c r="F53" s="38">
        <f>18700-1000+27.5*23</f>
        <v>18332.5</v>
      </c>
      <c r="G53" s="42" t="s">
        <v>106</v>
      </c>
      <c r="H53" s="39">
        <f>18700+10+27.5*23</f>
        <v>19342.5</v>
      </c>
      <c r="I53" s="37"/>
      <c r="J53" s="38"/>
      <c r="K53" s="38"/>
      <c r="L53" s="39"/>
      <c r="M53" s="37"/>
      <c r="N53" s="38"/>
      <c r="O53" s="38"/>
      <c r="P53" s="39"/>
      <c r="Q53" s="37"/>
      <c r="R53" s="38"/>
      <c r="S53" s="42"/>
      <c r="T53" s="39"/>
      <c r="U53" s="43"/>
    </row>
    <row r="54" spans="1:21" x14ac:dyDescent="0.25">
      <c r="A54" s="40">
        <f>A53+1</f>
        <v>47</v>
      </c>
      <c r="B54" s="38">
        <f t="shared" si="2"/>
        <v>18346.25</v>
      </c>
      <c r="C54" s="42" t="str">
        <f>C53</f>
        <v>/</v>
      </c>
      <c r="D54" s="41">
        <f t="shared" si="0"/>
        <v>19356.25</v>
      </c>
      <c r="E54" s="37"/>
      <c r="F54" s="38"/>
      <c r="G54" s="42"/>
      <c r="H54" s="39"/>
      <c r="I54" s="37"/>
      <c r="J54" s="38"/>
      <c r="K54" s="38"/>
      <c r="L54" s="39"/>
      <c r="M54" s="37"/>
      <c r="N54" s="38"/>
      <c r="O54" s="38"/>
      <c r="P54" s="39"/>
      <c r="Q54" s="37"/>
      <c r="R54" s="38"/>
      <c r="S54" s="42"/>
      <c r="T54" s="39"/>
      <c r="U54" s="43"/>
    </row>
    <row r="55" spans="1:21" x14ac:dyDescent="0.25">
      <c r="A55" s="40">
        <f t="shared" si="1"/>
        <v>48</v>
      </c>
      <c r="B55" s="38">
        <f t="shared" si="2"/>
        <v>18360</v>
      </c>
      <c r="C55" s="42" t="str">
        <f t="shared" si="3"/>
        <v>/</v>
      </c>
      <c r="D55" s="41">
        <f t="shared" si="0"/>
        <v>19370</v>
      </c>
      <c r="E55" s="37">
        <f>E53+1</f>
        <v>24</v>
      </c>
      <c r="F55" s="38">
        <f>18700-1000+27.5*24</f>
        <v>18360</v>
      </c>
      <c r="G55" s="42" t="s">
        <v>106</v>
      </c>
      <c r="H55" s="39">
        <f>18700+10+27.5*24</f>
        <v>19370</v>
      </c>
      <c r="I55" s="37">
        <f>I51+1</f>
        <v>12</v>
      </c>
      <c r="J55" s="38">
        <f>18700-1000+55*12</f>
        <v>18360</v>
      </c>
      <c r="K55" s="42" t="s">
        <v>106</v>
      </c>
      <c r="L55" s="39">
        <f>18700+10+55*12</f>
        <v>19370</v>
      </c>
      <c r="M55" s="37">
        <f>M47+1</f>
        <v>6</v>
      </c>
      <c r="N55" s="38">
        <f>18700-1000+110*6</f>
        <v>18360</v>
      </c>
      <c r="O55" s="42" t="s">
        <v>106</v>
      </c>
      <c r="P55" s="39">
        <f>18700+10+110*6</f>
        <v>19370</v>
      </c>
      <c r="Q55" s="37"/>
      <c r="R55" s="38"/>
      <c r="S55" s="42"/>
      <c r="T55" s="39"/>
      <c r="U55" s="43"/>
    </row>
    <row r="56" spans="1:21" x14ac:dyDescent="0.25">
      <c r="A56" s="40">
        <f t="shared" si="1"/>
        <v>49</v>
      </c>
      <c r="B56" s="38">
        <f t="shared" si="2"/>
        <v>18373.75</v>
      </c>
      <c r="C56" s="42" t="str">
        <f t="shared" si="3"/>
        <v>/</v>
      </c>
      <c r="D56" s="41">
        <f t="shared" si="0"/>
        <v>19383.75</v>
      </c>
      <c r="E56" s="37"/>
      <c r="F56" s="38"/>
      <c r="G56" s="42"/>
      <c r="H56" s="39"/>
      <c r="I56" s="37"/>
      <c r="J56" s="38"/>
      <c r="K56" s="38"/>
      <c r="L56" s="39"/>
      <c r="M56" s="37"/>
      <c r="N56" s="38"/>
      <c r="O56" s="38"/>
      <c r="P56" s="39"/>
      <c r="Q56" s="37"/>
      <c r="R56" s="38"/>
      <c r="S56" s="42"/>
      <c r="T56" s="39"/>
      <c r="U56" s="43"/>
    </row>
    <row r="57" spans="1:21" x14ac:dyDescent="0.25">
      <c r="A57" s="40">
        <f t="shared" si="1"/>
        <v>50</v>
      </c>
      <c r="B57" s="38">
        <f t="shared" si="2"/>
        <v>18387.5</v>
      </c>
      <c r="C57" s="42" t="str">
        <f t="shared" si="3"/>
        <v>/</v>
      </c>
      <c r="D57" s="41">
        <f t="shared" si="0"/>
        <v>19397.5</v>
      </c>
      <c r="E57" s="37">
        <f>E55+1</f>
        <v>25</v>
      </c>
      <c r="F57" s="38">
        <f>18700-1000+27.5*25</f>
        <v>18387.5</v>
      </c>
      <c r="G57" s="42" t="s">
        <v>106</v>
      </c>
      <c r="H57" s="39">
        <f>18700+10+27.5*25</f>
        <v>19397.5</v>
      </c>
      <c r="I57" s="37"/>
      <c r="J57" s="38"/>
      <c r="K57" s="38"/>
      <c r="L57" s="39"/>
      <c r="M57" s="37"/>
      <c r="N57" s="38"/>
      <c r="O57" s="38"/>
      <c r="P57" s="39"/>
      <c r="Q57" s="37"/>
      <c r="R57" s="38"/>
      <c r="S57" s="42"/>
      <c r="T57" s="39"/>
      <c r="U57" s="43"/>
    </row>
    <row r="58" spans="1:21" x14ac:dyDescent="0.25">
      <c r="A58" s="40">
        <f t="shared" si="1"/>
        <v>51</v>
      </c>
      <c r="B58" s="38">
        <f t="shared" si="2"/>
        <v>18401.25</v>
      </c>
      <c r="C58" s="42" t="str">
        <f t="shared" si="3"/>
        <v>/</v>
      </c>
      <c r="D58" s="41">
        <f t="shared" si="0"/>
        <v>19411.25</v>
      </c>
      <c r="E58" s="37"/>
      <c r="F58" s="38"/>
      <c r="G58" s="42"/>
      <c r="H58" s="39"/>
      <c r="I58" s="37"/>
      <c r="J58" s="38"/>
      <c r="K58" s="38"/>
      <c r="L58" s="39"/>
      <c r="M58" s="37"/>
      <c r="N58" s="38"/>
      <c r="O58" s="38"/>
      <c r="P58" s="39"/>
      <c r="Q58" s="37"/>
      <c r="R58" s="38"/>
      <c r="S58" s="42"/>
      <c r="T58" s="39"/>
      <c r="U58" s="43"/>
    </row>
    <row r="59" spans="1:21" x14ac:dyDescent="0.25">
      <c r="A59" s="40">
        <f t="shared" si="1"/>
        <v>52</v>
      </c>
      <c r="B59" s="38">
        <f t="shared" si="2"/>
        <v>18415</v>
      </c>
      <c r="C59" s="42" t="str">
        <f t="shared" si="3"/>
        <v>/</v>
      </c>
      <c r="D59" s="41">
        <f t="shared" si="0"/>
        <v>19425</v>
      </c>
      <c r="E59" s="37">
        <f>E57+1</f>
        <v>26</v>
      </c>
      <c r="F59" s="38">
        <f>18700-1000+27.5*26</f>
        <v>18415</v>
      </c>
      <c r="G59" s="42" t="s">
        <v>106</v>
      </c>
      <c r="H59" s="39">
        <f>18700+10+27.5*26</f>
        <v>19425</v>
      </c>
      <c r="I59" s="37">
        <f>I55+1</f>
        <v>13</v>
      </c>
      <c r="J59" s="38">
        <f>18700-1000+55*13</f>
        <v>18415</v>
      </c>
      <c r="K59" s="42" t="s">
        <v>106</v>
      </c>
      <c r="L59" s="39">
        <f>18700+10+55*13</f>
        <v>19425</v>
      </c>
      <c r="M59" s="37"/>
      <c r="N59" s="38"/>
      <c r="O59" s="38"/>
      <c r="P59" s="39"/>
      <c r="Q59" s="37">
        <v>6</v>
      </c>
      <c r="R59" s="38">
        <f>18700-945+110*Q59</f>
        <v>18415</v>
      </c>
      <c r="S59" s="42" t="s">
        <v>106</v>
      </c>
      <c r="T59" s="39">
        <f>18700+65+110*Q59</f>
        <v>19425</v>
      </c>
      <c r="U59" s="43"/>
    </row>
    <row r="60" spans="1:21" x14ac:dyDescent="0.25">
      <c r="A60" s="40">
        <f t="shared" si="1"/>
        <v>53</v>
      </c>
      <c r="B60" s="38">
        <f t="shared" si="2"/>
        <v>18428.75</v>
      </c>
      <c r="C60" s="42" t="str">
        <f t="shared" si="3"/>
        <v>/</v>
      </c>
      <c r="D60" s="41">
        <f t="shared" si="0"/>
        <v>19438.75</v>
      </c>
      <c r="E60" s="37"/>
      <c r="F60" s="38"/>
      <c r="G60" s="42"/>
      <c r="H60" s="39"/>
      <c r="I60" s="37"/>
      <c r="J60" s="38"/>
      <c r="K60" s="38"/>
      <c r="L60" s="39"/>
      <c r="M60" s="37"/>
      <c r="N60" s="38"/>
      <c r="O60" s="38"/>
      <c r="P60" s="39"/>
      <c r="Q60" s="37"/>
      <c r="R60" s="38"/>
      <c r="S60" s="42"/>
      <c r="T60" s="39"/>
      <c r="U60" s="43"/>
    </row>
    <row r="61" spans="1:21" x14ac:dyDescent="0.25">
      <c r="A61" s="40">
        <f t="shared" si="1"/>
        <v>54</v>
      </c>
      <c r="B61" s="38">
        <f t="shared" si="2"/>
        <v>18442.5</v>
      </c>
      <c r="C61" s="42" t="str">
        <f t="shared" si="3"/>
        <v>/</v>
      </c>
      <c r="D61" s="41">
        <f t="shared" si="0"/>
        <v>19452.5</v>
      </c>
      <c r="E61" s="37">
        <f>E59+1</f>
        <v>27</v>
      </c>
      <c r="F61" s="38">
        <f>18700-1000+27.5*27</f>
        <v>18442.5</v>
      </c>
      <c r="G61" s="42" t="s">
        <v>106</v>
      </c>
      <c r="H61" s="39">
        <f>18700+10+27.5*27</f>
        <v>19452.5</v>
      </c>
      <c r="I61" s="37"/>
      <c r="J61" s="38"/>
      <c r="K61" s="38"/>
      <c r="L61" s="39"/>
      <c r="M61" s="37"/>
      <c r="N61" s="38"/>
      <c r="O61" s="38"/>
      <c r="P61" s="39"/>
      <c r="Q61" s="37"/>
      <c r="R61" s="38"/>
      <c r="S61" s="42"/>
      <c r="T61" s="39"/>
      <c r="U61" s="43"/>
    </row>
    <row r="62" spans="1:21" x14ac:dyDescent="0.25">
      <c r="A62" s="40">
        <f t="shared" si="1"/>
        <v>55</v>
      </c>
      <c r="B62" s="38">
        <f t="shared" si="2"/>
        <v>18456.25</v>
      </c>
      <c r="C62" s="42" t="str">
        <f t="shared" si="3"/>
        <v>/</v>
      </c>
      <c r="D62" s="41">
        <f t="shared" si="0"/>
        <v>19466.25</v>
      </c>
      <c r="E62" s="37"/>
      <c r="F62" s="38"/>
      <c r="G62" s="42"/>
      <c r="H62" s="39"/>
      <c r="I62" s="37"/>
      <c r="J62" s="38"/>
      <c r="K62" s="38"/>
      <c r="L62" s="39"/>
      <c r="M62" s="37"/>
      <c r="N62" s="38"/>
      <c r="O62" s="38"/>
      <c r="P62" s="39"/>
      <c r="Q62" s="37"/>
      <c r="R62" s="38"/>
      <c r="S62" s="42"/>
      <c r="T62" s="39"/>
      <c r="U62" s="43"/>
    </row>
    <row r="63" spans="1:21" x14ac:dyDescent="0.25">
      <c r="A63" s="40">
        <f t="shared" si="1"/>
        <v>56</v>
      </c>
      <c r="B63" s="38">
        <f t="shared" si="2"/>
        <v>18470</v>
      </c>
      <c r="C63" s="42" t="str">
        <f t="shared" si="3"/>
        <v>/</v>
      </c>
      <c r="D63" s="41">
        <f t="shared" si="0"/>
        <v>19480</v>
      </c>
      <c r="E63" s="37">
        <f>E61+1</f>
        <v>28</v>
      </c>
      <c r="F63" s="38">
        <f>18700-1000+27.5*28</f>
        <v>18470</v>
      </c>
      <c r="G63" s="42" t="s">
        <v>106</v>
      </c>
      <c r="H63" s="39">
        <f>18700+10+27.5*28</f>
        <v>19480</v>
      </c>
      <c r="I63" s="37">
        <f>I59+1</f>
        <v>14</v>
      </c>
      <c r="J63" s="38">
        <f>18700-1000+55*14</f>
        <v>18470</v>
      </c>
      <c r="K63" s="42" t="s">
        <v>106</v>
      </c>
      <c r="L63" s="39">
        <f>18700+10+55*14</f>
        <v>19480</v>
      </c>
      <c r="M63" s="37">
        <f>M55+1</f>
        <v>7</v>
      </c>
      <c r="N63" s="38">
        <f>18700-1000+110*7</f>
        <v>18470</v>
      </c>
      <c r="O63" s="42" t="s">
        <v>106</v>
      </c>
      <c r="P63" s="39">
        <f>18700+10+110*7</f>
        <v>19480</v>
      </c>
      <c r="Q63" s="37"/>
      <c r="R63" s="38"/>
      <c r="S63" s="42"/>
      <c r="T63" s="39"/>
      <c r="U63" s="43" t="s">
        <v>171</v>
      </c>
    </row>
    <row r="64" spans="1:21" x14ac:dyDescent="0.25">
      <c r="A64" s="40">
        <f t="shared" si="1"/>
        <v>57</v>
      </c>
      <c r="B64" s="38">
        <f t="shared" si="2"/>
        <v>18483.75</v>
      </c>
      <c r="C64" s="42" t="str">
        <f t="shared" si="3"/>
        <v>/</v>
      </c>
      <c r="D64" s="41">
        <f t="shared" si="0"/>
        <v>19493.75</v>
      </c>
      <c r="E64" s="37"/>
      <c r="F64" s="38"/>
      <c r="G64" s="42"/>
      <c r="H64" s="39"/>
      <c r="I64" s="37"/>
      <c r="J64" s="38"/>
      <c r="K64" s="38"/>
      <c r="L64" s="39"/>
      <c r="M64" s="37"/>
      <c r="N64" s="38"/>
      <c r="O64" s="38"/>
      <c r="P64" s="39"/>
      <c r="Q64" s="37"/>
      <c r="R64" s="38"/>
      <c r="S64" s="42"/>
      <c r="T64" s="39"/>
      <c r="U64" s="43"/>
    </row>
    <row r="65" spans="1:23" x14ac:dyDescent="0.25">
      <c r="A65" s="40">
        <f t="shared" si="1"/>
        <v>58</v>
      </c>
      <c r="B65" s="38">
        <f t="shared" si="2"/>
        <v>18497.5</v>
      </c>
      <c r="C65" s="42" t="str">
        <f t="shared" si="3"/>
        <v>/</v>
      </c>
      <c r="D65" s="41">
        <f t="shared" si="0"/>
        <v>19507.5</v>
      </c>
      <c r="E65" s="37">
        <f>E63+1</f>
        <v>29</v>
      </c>
      <c r="F65" s="38">
        <f>18700-1000+27.5*29</f>
        <v>18497.5</v>
      </c>
      <c r="G65" s="42" t="s">
        <v>106</v>
      </c>
      <c r="H65" s="39">
        <f>18700+10+27.5*29</f>
        <v>19507.5</v>
      </c>
      <c r="I65" s="37"/>
      <c r="J65" s="38"/>
      <c r="K65" s="38"/>
      <c r="L65" s="39"/>
      <c r="M65" s="37"/>
      <c r="N65" s="38"/>
      <c r="O65" s="38"/>
      <c r="P65" s="39"/>
      <c r="Q65" s="37"/>
      <c r="R65" s="38"/>
      <c r="S65" s="42"/>
      <c r="T65" s="39"/>
      <c r="U65" s="43"/>
    </row>
    <row r="66" spans="1:23" x14ac:dyDescent="0.25">
      <c r="A66" s="40">
        <f t="shared" si="1"/>
        <v>59</v>
      </c>
      <c r="B66" s="38">
        <f t="shared" si="2"/>
        <v>18511.25</v>
      </c>
      <c r="C66" s="42" t="str">
        <f t="shared" si="3"/>
        <v>/</v>
      </c>
      <c r="D66" s="41">
        <f t="shared" si="0"/>
        <v>19521.25</v>
      </c>
      <c r="E66" s="37"/>
      <c r="F66" s="38"/>
      <c r="G66" s="42"/>
      <c r="H66" s="39"/>
      <c r="I66" s="37"/>
      <c r="J66" s="38"/>
      <c r="K66" s="38"/>
      <c r="L66" s="39"/>
      <c r="M66" s="37"/>
      <c r="N66" s="38"/>
      <c r="O66" s="38"/>
      <c r="P66" s="39"/>
      <c r="Q66" s="37"/>
      <c r="R66" s="38"/>
      <c r="S66" s="42"/>
      <c r="T66" s="39"/>
      <c r="U66" s="43"/>
    </row>
    <row r="67" spans="1:23" x14ac:dyDescent="0.25">
      <c r="A67" s="40">
        <f t="shared" si="1"/>
        <v>60</v>
      </c>
      <c r="B67" s="38">
        <f t="shared" si="2"/>
        <v>18525</v>
      </c>
      <c r="C67" s="42" t="str">
        <f t="shared" si="3"/>
        <v>/</v>
      </c>
      <c r="D67" s="41">
        <f t="shared" si="0"/>
        <v>19535</v>
      </c>
      <c r="E67" s="37">
        <f>E65+1</f>
        <v>30</v>
      </c>
      <c r="F67" s="38">
        <f>18700-1000+27.5*30</f>
        <v>18525</v>
      </c>
      <c r="G67" s="42" t="s">
        <v>106</v>
      </c>
      <c r="H67" s="39">
        <f>18700+10+27.5*30</f>
        <v>19535</v>
      </c>
      <c r="I67" s="37">
        <f>I63+1</f>
        <v>15</v>
      </c>
      <c r="J67" s="38">
        <f>18700-1000+55*15</f>
        <v>18525</v>
      </c>
      <c r="K67" s="42" t="s">
        <v>106</v>
      </c>
      <c r="L67" s="39">
        <f>18700+10+55*15</f>
        <v>19535</v>
      </c>
      <c r="M67" s="37"/>
      <c r="N67" s="38"/>
      <c r="O67" s="38"/>
      <c r="P67" s="39"/>
      <c r="Q67" s="37">
        <v>7</v>
      </c>
      <c r="R67" s="38">
        <f>18700-945+110*Q67</f>
        <v>18525</v>
      </c>
      <c r="S67" s="42" t="s">
        <v>106</v>
      </c>
      <c r="T67" s="39">
        <f>18700+65+110*Q67</f>
        <v>19535</v>
      </c>
      <c r="U67" s="43"/>
      <c r="W67" s="146"/>
    </row>
    <row r="68" spans="1:23" x14ac:dyDescent="0.25">
      <c r="A68" s="40">
        <f t="shared" si="1"/>
        <v>61</v>
      </c>
      <c r="B68" s="38">
        <f t="shared" si="2"/>
        <v>18538.75</v>
      </c>
      <c r="C68" s="42" t="str">
        <f t="shared" si="3"/>
        <v>/</v>
      </c>
      <c r="D68" s="41">
        <f t="shared" si="0"/>
        <v>19548.75</v>
      </c>
      <c r="E68" s="37"/>
      <c r="F68" s="38"/>
      <c r="G68" s="42"/>
      <c r="H68" s="39"/>
      <c r="I68" s="37"/>
      <c r="J68" s="38"/>
      <c r="K68" s="38"/>
      <c r="L68" s="39"/>
      <c r="M68" s="37"/>
      <c r="N68" s="38"/>
      <c r="O68" s="38"/>
      <c r="P68" s="39"/>
      <c r="Q68" s="37"/>
      <c r="R68" s="38"/>
      <c r="S68" s="42"/>
      <c r="T68" s="39"/>
      <c r="U68" s="43"/>
    </row>
    <row r="69" spans="1:23" x14ac:dyDescent="0.25">
      <c r="A69" s="40">
        <f t="shared" si="1"/>
        <v>62</v>
      </c>
      <c r="B69" s="38">
        <f t="shared" si="2"/>
        <v>18552.5</v>
      </c>
      <c r="C69" s="42" t="str">
        <f t="shared" si="3"/>
        <v>/</v>
      </c>
      <c r="D69" s="41">
        <f t="shared" si="0"/>
        <v>19562.5</v>
      </c>
      <c r="E69" s="37">
        <f>E67+1</f>
        <v>31</v>
      </c>
      <c r="F69" s="38">
        <f>18700-1000+27.5*31</f>
        <v>18552.5</v>
      </c>
      <c r="G69" s="42" t="s">
        <v>106</v>
      </c>
      <c r="H69" s="39">
        <f>18700+10+27.5*31</f>
        <v>19562.5</v>
      </c>
      <c r="I69" s="37"/>
      <c r="J69" s="38"/>
      <c r="K69" s="38"/>
      <c r="L69" s="39"/>
      <c r="M69" s="37"/>
      <c r="N69" s="38"/>
      <c r="O69" s="38"/>
      <c r="P69" s="39"/>
      <c r="Q69" s="37"/>
      <c r="R69" s="38"/>
      <c r="S69" s="42"/>
      <c r="T69" s="39"/>
      <c r="U69" s="43"/>
    </row>
    <row r="70" spans="1:23" x14ac:dyDescent="0.25">
      <c r="A70" s="40">
        <f t="shared" si="1"/>
        <v>63</v>
      </c>
      <c r="B70" s="38">
        <f t="shared" si="2"/>
        <v>18566.25</v>
      </c>
      <c r="C70" s="42" t="str">
        <f t="shared" si="3"/>
        <v>/</v>
      </c>
      <c r="D70" s="41">
        <f t="shared" si="0"/>
        <v>19576.25</v>
      </c>
      <c r="E70" s="37"/>
      <c r="F70" s="38"/>
      <c r="G70" s="42"/>
      <c r="H70" s="39"/>
      <c r="I70" s="37"/>
      <c r="J70" s="38"/>
      <c r="K70" s="38"/>
      <c r="L70" s="39"/>
      <c r="M70" s="37"/>
      <c r="N70" s="38"/>
      <c r="O70" s="38"/>
      <c r="P70" s="39"/>
      <c r="Q70" s="37"/>
      <c r="R70" s="38"/>
      <c r="S70" s="42"/>
      <c r="T70" s="39"/>
      <c r="U70" s="43"/>
    </row>
    <row r="71" spans="1:23" x14ac:dyDescent="0.25">
      <c r="A71" s="40">
        <f t="shared" si="1"/>
        <v>64</v>
      </c>
      <c r="B71" s="38">
        <f t="shared" si="2"/>
        <v>18580</v>
      </c>
      <c r="C71" s="42" t="str">
        <f t="shared" si="3"/>
        <v>/</v>
      </c>
      <c r="D71" s="41">
        <f t="shared" si="0"/>
        <v>19590</v>
      </c>
      <c r="E71" s="37">
        <f>E69+1</f>
        <v>32</v>
      </c>
      <c r="F71" s="38">
        <f>18700-1000+27.5*32</f>
        <v>18580</v>
      </c>
      <c r="G71" s="42" t="s">
        <v>106</v>
      </c>
      <c r="H71" s="39">
        <f>18700+10+27.5*32</f>
        <v>19590</v>
      </c>
      <c r="I71" s="37">
        <f>I67+1</f>
        <v>16</v>
      </c>
      <c r="J71" s="38">
        <f>18700-1000+55*16</f>
        <v>18580</v>
      </c>
      <c r="K71" s="42" t="s">
        <v>106</v>
      </c>
      <c r="L71" s="39">
        <f>18700+10+55*16</f>
        <v>19590</v>
      </c>
      <c r="M71" s="37">
        <f>M63+1</f>
        <v>8</v>
      </c>
      <c r="N71" s="38">
        <f>18700-1000+110*8</f>
        <v>18580</v>
      </c>
      <c r="O71" s="42" t="s">
        <v>106</v>
      </c>
      <c r="P71" s="39">
        <f>18700+10+110*8</f>
        <v>19590</v>
      </c>
      <c r="Q71" s="37"/>
      <c r="R71" s="38"/>
      <c r="S71" s="42"/>
      <c r="T71" s="39"/>
      <c r="U71" s="43"/>
    </row>
    <row r="72" spans="1:23" x14ac:dyDescent="0.25">
      <c r="A72" s="40">
        <f t="shared" si="1"/>
        <v>65</v>
      </c>
      <c r="B72" s="38">
        <f t="shared" si="2"/>
        <v>18593.75</v>
      </c>
      <c r="C72" s="42" t="str">
        <f t="shared" si="3"/>
        <v>/</v>
      </c>
      <c r="D72" s="41">
        <f t="shared" si="0"/>
        <v>19603.75</v>
      </c>
      <c r="E72" s="37"/>
      <c r="F72" s="38"/>
      <c r="G72" s="42"/>
      <c r="H72" s="39"/>
      <c r="I72" s="37"/>
      <c r="J72" s="38"/>
      <c r="K72" s="38"/>
      <c r="L72" s="39"/>
      <c r="M72" s="37"/>
      <c r="N72" s="38"/>
      <c r="O72" s="38"/>
      <c r="P72" s="39"/>
      <c r="Q72" s="37"/>
      <c r="R72" s="38"/>
      <c r="S72" s="42"/>
      <c r="T72" s="39"/>
      <c r="U72" s="43"/>
    </row>
    <row r="73" spans="1:23" x14ac:dyDescent="0.25">
      <c r="A73" s="40">
        <f t="shared" si="1"/>
        <v>66</v>
      </c>
      <c r="B73" s="38">
        <f t="shared" si="2"/>
        <v>18607.5</v>
      </c>
      <c r="C73" s="42" t="str">
        <f t="shared" si="3"/>
        <v>/</v>
      </c>
      <c r="D73" s="41">
        <f>18700+10+13.75*A73</f>
        <v>19617.5</v>
      </c>
      <c r="E73" s="37">
        <f>E71+1</f>
        <v>33</v>
      </c>
      <c r="F73" s="38">
        <f>18700-1000+27.5*33</f>
        <v>18607.5</v>
      </c>
      <c r="G73" s="42" t="s">
        <v>106</v>
      </c>
      <c r="H73" s="39">
        <f>18700+10+27.5*33</f>
        <v>19617.5</v>
      </c>
      <c r="I73" s="37"/>
      <c r="J73" s="38"/>
      <c r="K73" s="38"/>
      <c r="L73" s="39"/>
      <c r="M73" s="37"/>
      <c r="N73" s="38"/>
      <c r="O73" s="38"/>
      <c r="P73" s="39"/>
      <c r="Q73" s="37"/>
      <c r="R73" s="38"/>
      <c r="S73" s="42"/>
      <c r="T73" s="39"/>
      <c r="U73" s="43"/>
    </row>
    <row r="74" spans="1:23" x14ac:dyDescent="0.25">
      <c r="A74" s="40">
        <f>A73+1</f>
        <v>67</v>
      </c>
      <c r="B74" s="38">
        <f>18700-1000+13.75*A74</f>
        <v>18621.25</v>
      </c>
      <c r="C74" s="42" t="str">
        <f>C73</f>
        <v>/</v>
      </c>
      <c r="D74" s="41">
        <f>18700+10+13.75*A74</f>
        <v>19631.25</v>
      </c>
      <c r="E74" s="37"/>
      <c r="F74" s="38"/>
      <c r="G74" s="42"/>
      <c r="H74" s="39"/>
      <c r="I74" s="37"/>
      <c r="J74" s="38"/>
      <c r="K74" s="38"/>
      <c r="L74" s="39"/>
      <c r="M74" s="37"/>
      <c r="N74" s="38"/>
      <c r="O74" s="38"/>
      <c r="P74" s="39"/>
      <c r="Q74" s="37"/>
      <c r="R74" s="38"/>
      <c r="S74" s="42"/>
      <c r="T74" s="39"/>
      <c r="U74" s="43"/>
    </row>
    <row r="75" spans="1:23" x14ac:dyDescent="0.25">
      <c r="A75" s="40">
        <f>A74+1</f>
        <v>68</v>
      </c>
      <c r="B75" s="38">
        <f>18700-1000+13.75*A75</f>
        <v>18635</v>
      </c>
      <c r="C75" s="42" t="str">
        <f>C74</f>
        <v>/</v>
      </c>
      <c r="D75" s="41">
        <f>18700+10+13.75*A75</f>
        <v>19645</v>
      </c>
      <c r="E75" s="37">
        <f>E73+1</f>
        <v>34</v>
      </c>
      <c r="F75" s="38">
        <f>18700-1000+27.5*34</f>
        <v>18635</v>
      </c>
      <c r="G75" s="42" t="s">
        <v>106</v>
      </c>
      <c r="H75" s="39">
        <f>18700+10+27.5*34</f>
        <v>19645</v>
      </c>
      <c r="I75" s="593">
        <f>I71+1</f>
        <v>17</v>
      </c>
      <c r="J75" s="590">
        <f>18700-1000+55*17</f>
        <v>18635</v>
      </c>
      <c r="K75" s="591" t="s">
        <v>106</v>
      </c>
      <c r="L75" s="594">
        <f>18700+10+55*17</f>
        <v>19645</v>
      </c>
      <c r="M75" s="37"/>
      <c r="N75" s="38"/>
      <c r="O75" s="38"/>
      <c r="P75" s="39"/>
      <c r="Q75" s="37"/>
      <c r="R75" s="38"/>
      <c r="S75" s="42"/>
      <c r="T75" s="39"/>
      <c r="U75" s="43"/>
    </row>
    <row r="76" spans="1:23" x14ac:dyDescent="0.25">
      <c r="A76" s="589">
        <f>A75+1</f>
        <v>69</v>
      </c>
      <c r="B76" s="590">
        <f>18700-1000+13.75*A76</f>
        <v>18648.75</v>
      </c>
      <c r="C76" s="591" t="str">
        <f>C75</f>
        <v>/</v>
      </c>
      <c r="D76" s="592">
        <f>18700+10+13.75*A76</f>
        <v>19658.75</v>
      </c>
      <c r="E76" s="37"/>
      <c r="F76" s="38"/>
      <c r="G76" s="42"/>
      <c r="H76" s="39"/>
      <c r="I76" s="593"/>
      <c r="J76" s="590"/>
      <c r="K76" s="590"/>
      <c r="L76" s="594"/>
      <c r="M76" s="37"/>
      <c r="N76" s="38"/>
      <c r="O76" s="42"/>
      <c r="P76" s="39"/>
      <c r="Q76" s="37"/>
      <c r="R76" s="38"/>
      <c r="S76" s="42"/>
      <c r="T76" s="39"/>
      <c r="U76" s="43"/>
    </row>
    <row r="77" spans="1:23" ht="15.75" thickBot="1" x14ac:dyDescent="0.3">
      <c r="A77" s="582">
        <f>A76+1</f>
        <v>70</v>
      </c>
      <c r="B77" s="583">
        <f>18700-1000+13.75*A77</f>
        <v>18662.5</v>
      </c>
      <c r="C77" s="584" t="str">
        <f>C76</f>
        <v>/</v>
      </c>
      <c r="D77" s="585">
        <f>18700+10+13.75*A77</f>
        <v>19672.5</v>
      </c>
      <c r="E77" s="586">
        <f>E75+1</f>
        <v>35</v>
      </c>
      <c r="F77" s="583">
        <f>18700-1000+27.5*35</f>
        <v>18662.5</v>
      </c>
      <c r="G77" s="584" t="s">
        <v>106</v>
      </c>
      <c r="H77" s="587">
        <f>18700+10+27.5*35</f>
        <v>19672.5</v>
      </c>
      <c r="I77" s="586"/>
      <c r="J77" s="583"/>
      <c r="K77" s="583"/>
      <c r="L77" s="587"/>
      <c r="M77" s="586"/>
      <c r="N77" s="583"/>
      <c r="O77" s="584"/>
      <c r="P77" s="587"/>
      <c r="Q77" s="586"/>
      <c r="R77" s="583"/>
      <c r="S77" s="584"/>
      <c r="T77" s="587"/>
      <c r="U77" s="588" t="s">
        <v>183</v>
      </c>
    </row>
  </sheetData>
  <hyperlinks>
    <hyperlink ref="L1" location="'Oversikt'!A1" display="Oversikt" xr:uid="{30DFFA8A-7394-4282-8453-A2506FFCAFA2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EE19-9169-4C87-A592-632EA46EC0A2}">
  <sheetPr codeName="Ark14">
    <tabColor theme="9" tint="0.39997558519241921"/>
  </sheetPr>
  <dimension ref="A1:AA236"/>
  <sheetViews>
    <sheetView zoomScale="80" zoomScaleNormal="80" workbookViewId="0">
      <pane ySplit="6" topLeftCell="A7" activePane="bottomLeft" state="frozen"/>
      <selection pane="bottomLeft" activeCell="A2" sqref="A2"/>
    </sheetView>
  </sheetViews>
  <sheetFormatPr baseColWidth="10" defaultColWidth="11.42578125" defaultRowHeight="15" x14ac:dyDescent="0.25"/>
  <cols>
    <col min="1" max="1" width="5.7109375" style="3" customWidth="1"/>
    <col min="3" max="3" width="2.140625" bestFit="1" customWidth="1"/>
    <col min="5" max="5" width="3.42578125" bestFit="1" customWidth="1"/>
    <col min="7" max="7" width="2.140625" bestFit="1" customWidth="1"/>
    <col min="9" max="9" width="3.42578125" bestFit="1" customWidth="1"/>
    <col min="11" max="11" width="2.140625" bestFit="1" customWidth="1"/>
    <col min="13" max="13" width="3.42578125" bestFit="1" customWidth="1"/>
    <col min="15" max="15" width="2.140625" bestFit="1" customWidth="1"/>
    <col min="17" max="17" width="2.28515625" bestFit="1" customWidth="1"/>
    <col min="19" max="19" width="2.140625" bestFit="1" customWidth="1"/>
    <col min="21" max="21" width="2.28515625" style="3" bestFit="1" customWidth="1"/>
    <col min="22" max="22" width="12.42578125" customWidth="1"/>
    <col min="23" max="23" width="2.140625" bestFit="1" customWidth="1"/>
    <col min="24" max="24" width="7.28515625" bestFit="1" customWidth="1"/>
    <col min="25" max="25" width="31.28515625" bestFit="1" customWidth="1"/>
  </cols>
  <sheetData>
    <row r="1" spans="1:25" ht="18.75" x14ac:dyDescent="0.3">
      <c r="A1" s="801" t="s">
        <v>184</v>
      </c>
      <c r="B1" s="2"/>
      <c r="E1" s="3"/>
      <c r="G1" s="4"/>
      <c r="H1" s="5"/>
      <c r="I1" s="4"/>
      <c r="J1" s="800" t="s">
        <v>50</v>
      </c>
      <c r="K1" s="6"/>
      <c r="L1" s="7"/>
      <c r="M1" s="3"/>
      <c r="P1" s="7"/>
      <c r="Q1" s="3"/>
      <c r="R1" s="7"/>
      <c r="S1" s="7"/>
      <c r="T1" s="7"/>
      <c r="V1" s="7"/>
      <c r="W1" s="7"/>
      <c r="X1" s="7"/>
    </row>
    <row r="2" spans="1:25" ht="15.75" x14ac:dyDescent="0.25">
      <c r="A2" s="802"/>
      <c r="E2" s="3"/>
      <c r="G2" s="3"/>
      <c r="H2" s="7"/>
      <c r="I2" s="3"/>
      <c r="L2" s="7"/>
      <c r="M2" s="3"/>
      <c r="P2" s="7"/>
      <c r="Q2" s="3"/>
      <c r="R2" s="7"/>
      <c r="S2" s="7"/>
      <c r="T2" s="7"/>
      <c r="V2" s="7"/>
      <c r="W2" s="7"/>
      <c r="X2" s="7"/>
    </row>
    <row r="3" spans="1:25" ht="15.75" x14ac:dyDescent="0.25">
      <c r="A3" s="803"/>
      <c r="E3" s="3"/>
      <c r="G3" s="3"/>
      <c r="H3" s="7"/>
      <c r="I3" s="3"/>
      <c r="L3" s="7"/>
      <c r="M3" s="3"/>
      <c r="P3" s="7"/>
      <c r="Q3" s="3"/>
      <c r="R3" s="7"/>
      <c r="S3" s="7"/>
      <c r="T3" s="7"/>
      <c r="V3" s="7"/>
      <c r="W3" s="7"/>
      <c r="X3" s="7"/>
    </row>
    <row r="4" spans="1:25" ht="15.75" x14ac:dyDescent="0.25">
      <c r="A4" s="756"/>
      <c r="E4" s="3"/>
      <c r="G4" s="3"/>
      <c r="H4" s="7"/>
      <c r="I4" s="3"/>
      <c r="L4" s="7"/>
      <c r="M4" s="3"/>
      <c r="P4" s="7"/>
      <c r="Q4" s="3"/>
      <c r="R4" s="7"/>
      <c r="S4" s="7"/>
      <c r="T4" s="7"/>
      <c r="V4" s="7"/>
      <c r="W4" s="7"/>
      <c r="X4" s="7"/>
    </row>
    <row r="5" spans="1:25" ht="15.75" thickBot="1" x14ac:dyDescent="0.3">
      <c r="E5" s="3"/>
      <c r="G5" s="3"/>
      <c r="H5" s="7"/>
      <c r="I5" s="3"/>
      <c r="L5" s="7"/>
      <c r="M5" s="3"/>
      <c r="P5" s="7"/>
      <c r="Q5" s="3"/>
      <c r="R5" s="7"/>
      <c r="S5" s="7"/>
      <c r="T5" s="7"/>
      <c r="V5" s="7"/>
      <c r="W5" s="7"/>
      <c r="X5" s="7"/>
    </row>
    <row r="6" spans="1:25" ht="16.5" thickTop="1" thickBot="1" x14ac:dyDescent="0.3">
      <c r="A6" s="157"/>
      <c r="B6" s="154" t="s">
        <v>109</v>
      </c>
      <c r="C6" s="155"/>
      <c r="D6" s="156"/>
      <c r="E6" s="157"/>
      <c r="F6" s="154" t="s">
        <v>110</v>
      </c>
      <c r="G6" s="158"/>
      <c r="H6" s="159"/>
      <c r="I6" s="157"/>
      <c r="J6" s="154" t="s">
        <v>111</v>
      </c>
      <c r="K6" s="155"/>
      <c r="L6" s="159"/>
      <c r="M6" s="157"/>
      <c r="N6" s="154" t="s">
        <v>185</v>
      </c>
      <c r="O6" s="155"/>
      <c r="P6" s="159"/>
      <c r="Q6" s="157"/>
      <c r="R6" s="160" t="s">
        <v>186</v>
      </c>
      <c r="S6" s="161"/>
      <c r="T6" s="159"/>
      <c r="U6" s="157"/>
      <c r="V6" s="160" t="s">
        <v>187</v>
      </c>
      <c r="W6" s="161"/>
      <c r="X6" s="159"/>
      <c r="Y6" s="162" t="s">
        <v>105</v>
      </c>
    </row>
    <row r="7" spans="1:25" ht="15.75" thickTop="1" x14ac:dyDescent="0.25">
      <c r="A7" s="166"/>
      <c r="B7" s="163">
        <v>22000</v>
      </c>
      <c r="C7" s="164"/>
      <c r="D7" s="165">
        <v>23000</v>
      </c>
      <c r="E7" s="166"/>
      <c r="F7" s="163">
        <v>22000</v>
      </c>
      <c r="G7" s="167"/>
      <c r="H7" s="165">
        <v>23000</v>
      </c>
      <c r="I7" s="166"/>
      <c r="J7" s="163">
        <v>22000</v>
      </c>
      <c r="K7" s="164"/>
      <c r="L7" s="165">
        <v>23000</v>
      </c>
      <c r="M7" s="166"/>
      <c r="N7" s="163">
        <v>22000</v>
      </c>
      <c r="O7" s="164"/>
      <c r="P7" s="165">
        <v>23000</v>
      </c>
      <c r="Q7" s="166"/>
      <c r="R7" s="163">
        <v>22000</v>
      </c>
      <c r="S7" s="168"/>
      <c r="T7" s="165">
        <v>23000</v>
      </c>
      <c r="U7" s="166"/>
      <c r="V7" s="163">
        <v>22000</v>
      </c>
      <c r="W7" s="168"/>
      <c r="X7" s="165">
        <v>23000</v>
      </c>
      <c r="Y7" s="169" t="s">
        <v>188</v>
      </c>
    </row>
    <row r="8" spans="1:25" x14ac:dyDescent="0.25">
      <c r="A8" s="166"/>
      <c r="B8" s="163">
        <v>22002.75</v>
      </c>
      <c r="C8" s="164"/>
      <c r="D8" s="165">
        <v>23010.75</v>
      </c>
      <c r="E8" s="166"/>
      <c r="F8" s="163"/>
      <c r="G8" s="167"/>
      <c r="H8" s="165"/>
      <c r="I8" s="166"/>
      <c r="J8" s="163"/>
      <c r="K8" s="164"/>
      <c r="L8" s="165"/>
      <c r="M8" s="166"/>
      <c r="N8" s="163"/>
      <c r="O8" s="164"/>
      <c r="P8" s="165"/>
      <c r="Q8" s="166"/>
      <c r="R8" s="163"/>
      <c r="S8" s="168"/>
      <c r="T8" s="165"/>
      <c r="U8" s="166"/>
      <c r="V8" s="163"/>
      <c r="W8" s="168"/>
      <c r="X8" s="165"/>
      <c r="Y8" s="169"/>
    </row>
    <row r="9" spans="1:25" ht="15.75" thickBot="1" x14ac:dyDescent="0.3">
      <c r="A9" s="172">
        <v>1</v>
      </c>
      <c r="B9" s="170">
        <f t="shared" ref="B9:B72" si="0">21196+805+3.5*A9</f>
        <v>22004.5</v>
      </c>
      <c r="C9" s="170" t="s">
        <v>106</v>
      </c>
      <c r="D9" s="171">
        <f>21196+1813+3.5*A9</f>
        <v>23012.5</v>
      </c>
      <c r="E9" s="172"/>
      <c r="F9" s="164"/>
      <c r="G9" s="167"/>
      <c r="H9" s="173"/>
      <c r="I9" s="172"/>
      <c r="J9" s="164"/>
      <c r="K9" s="164"/>
      <c r="L9" s="173"/>
      <c r="M9" s="172"/>
      <c r="N9" s="164"/>
      <c r="O9" s="174"/>
      <c r="P9" s="175"/>
      <c r="Q9" s="172"/>
      <c r="R9" s="176"/>
      <c r="S9" s="176"/>
      <c r="T9" s="175"/>
      <c r="U9" s="172"/>
      <c r="V9" s="176"/>
      <c r="W9" s="176"/>
      <c r="X9" s="175"/>
      <c r="Y9" s="177"/>
    </row>
    <row r="10" spans="1:25" x14ac:dyDescent="0.25">
      <c r="A10" s="597">
        <f>A9+1</f>
        <v>2</v>
      </c>
      <c r="B10" s="590">
        <f t="shared" si="0"/>
        <v>22008</v>
      </c>
      <c r="C10" s="590" t="str">
        <f>C9</f>
        <v>/</v>
      </c>
      <c r="D10" s="601">
        <f t="shared" ref="D10:D73" si="1">21196+1813+3.5*A10</f>
        <v>23016</v>
      </c>
      <c r="E10" s="597"/>
      <c r="F10" s="602"/>
      <c r="G10" s="603"/>
      <c r="H10" s="604"/>
      <c r="I10" s="597"/>
      <c r="J10" s="602"/>
      <c r="K10" s="603"/>
      <c r="L10" s="604"/>
      <c r="M10" s="597"/>
      <c r="N10" s="602"/>
      <c r="O10" s="590"/>
      <c r="P10" s="602"/>
      <c r="Q10" s="178"/>
      <c r="R10" s="179"/>
      <c r="S10" s="179"/>
      <c r="T10" s="180"/>
      <c r="U10" s="178"/>
      <c r="V10" s="179"/>
      <c r="W10" s="179"/>
      <c r="X10" s="180"/>
      <c r="Y10" s="177"/>
    </row>
    <row r="11" spans="1:25" x14ac:dyDescent="0.25">
      <c r="A11" s="597">
        <f t="shared" ref="A11:A74" si="2">A10+1</f>
        <v>3</v>
      </c>
      <c r="B11" s="590">
        <f t="shared" si="0"/>
        <v>22011.5</v>
      </c>
      <c r="C11" s="590" t="str">
        <f t="shared" ref="C11:C74" si="3">C10</f>
        <v>/</v>
      </c>
      <c r="D11" s="601">
        <f t="shared" si="1"/>
        <v>23019.5</v>
      </c>
      <c r="E11" s="597">
        <v>1</v>
      </c>
      <c r="F11" s="590">
        <f>21196+808.5+7*E11</f>
        <v>22011.5</v>
      </c>
      <c r="G11" s="591" t="s">
        <v>106</v>
      </c>
      <c r="H11" s="601">
        <f>21196+1816.5+7*E11</f>
        <v>23019.5</v>
      </c>
      <c r="I11" s="597"/>
      <c r="J11" s="590"/>
      <c r="K11" s="590"/>
      <c r="L11" s="605"/>
      <c r="M11" s="597"/>
      <c r="N11" s="590"/>
      <c r="O11" s="590"/>
      <c r="P11" s="605"/>
      <c r="Q11" s="178"/>
      <c r="R11" s="179"/>
      <c r="S11" s="179"/>
      <c r="T11" s="180"/>
      <c r="U11" s="178"/>
      <c r="V11" s="179"/>
      <c r="W11" s="179"/>
      <c r="X11" s="180"/>
      <c r="Y11" s="177"/>
    </row>
    <row r="12" spans="1:25" x14ac:dyDescent="0.25">
      <c r="A12" s="597">
        <f t="shared" si="2"/>
        <v>4</v>
      </c>
      <c r="B12" s="590">
        <f t="shared" si="0"/>
        <v>22015</v>
      </c>
      <c r="C12" s="590" t="str">
        <f t="shared" si="3"/>
        <v>/</v>
      </c>
      <c r="D12" s="601">
        <f t="shared" si="1"/>
        <v>23023</v>
      </c>
      <c r="E12" s="597" t="s">
        <v>127</v>
      </c>
      <c r="F12" s="590"/>
      <c r="G12" s="591"/>
      <c r="H12" s="605"/>
      <c r="I12" s="597">
        <v>1</v>
      </c>
      <c r="J12" s="590">
        <f>21196+805+14*I12</f>
        <v>22015</v>
      </c>
      <c r="K12" s="591" t="s">
        <v>106</v>
      </c>
      <c r="L12" s="601">
        <f>21196+1813+14*I12</f>
        <v>23023</v>
      </c>
      <c r="M12" s="597"/>
      <c r="N12" s="590"/>
      <c r="O12" s="590"/>
      <c r="P12" s="605"/>
      <c r="Q12" s="178"/>
      <c r="R12" s="179"/>
      <c r="S12" s="179"/>
      <c r="T12" s="180"/>
      <c r="U12" s="178"/>
      <c r="V12" s="179"/>
      <c r="W12" s="179"/>
      <c r="X12" s="180"/>
      <c r="Y12" s="177"/>
    </row>
    <row r="13" spans="1:25" ht="15.75" thickBot="1" x14ac:dyDescent="0.3">
      <c r="A13" s="597">
        <f t="shared" si="2"/>
        <v>5</v>
      </c>
      <c r="B13" s="590">
        <f t="shared" si="0"/>
        <v>22018.5</v>
      </c>
      <c r="C13" s="590" t="str">
        <f t="shared" si="3"/>
        <v>/</v>
      </c>
      <c r="D13" s="601">
        <f t="shared" si="1"/>
        <v>23026.5</v>
      </c>
      <c r="E13" s="597">
        <f>E11+1</f>
        <v>2</v>
      </c>
      <c r="F13" s="590">
        <f>21196+808.5+7*E13</f>
        <v>22018.5</v>
      </c>
      <c r="G13" s="591" t="s">
        <v>106</v>
      </c>
      <c r="H13" s="601">
        <f>21196+1816.5+7*E13</f>
        <v>23026.5</v>
      </c>
      <c r="I13" s="597"/>
      <c r="J13" s="590"/>
      <c r="K13" s="591"/>
      <c r="L13" s="601"/>
      <c r="M13" s="597"/>
      <c r="N13" s="590"/>
      <c r="O13" s="590"/>
      <c r="P13" s="605"/>
      <c r="Q13" s="178"/>
      <c r="R13" s="179"/>
      <c r="S13" s="179"/>
      <c r="T13" s="180"/>
      <c r="U13" s="178"/>
      <c r="V13" s="182"/>
      <c r="W13" s="179"/>
      <c r="X13" s="180"/>
      <c r="Y13" s="177"/>
    </row>
    <row r="14" spans="1:25" x14ac:dyDescent="0.25">
      <c r="A14" s="597">
        <f t="shared" si="2"/>
        <v>6</v>
      </c>
      <c r="B14" s="590">
        <f t="shared" si="0"/>
        <v>22022</v>
      </c>
      <c r="C14" s="590" t="str">
        <f t="shared" si="3"/>
        <v>/</v>
      </c>
      <c r="D14" s="601">
        <f t="shared" si="1"/>
        <v>23030</v>
      </c>
      <c r="E14" s="597" t="s">
        <v>127</v>
      </c>
      <c r="F14" s="590"/>
      <c r="G14" s="591"/>
      <c r="H14" s="605"/>
      <c r="I14" s="597"/>
      <c r="J14" s="590"/>
      <c r="K14" s="590"/>
      <c r="L14" s="605"/>
      <c r="M14" s="597">
        <v>1</v>
      </c>
      <c r="N14" s="590">
        <f>21196+798+28*M14</f>
        <v>22022</v>
      </c>
      <c r="O14" s="591" t="s">
        <v>106</v>
      </c>
      <c r="P14" s="601">
        <f>21196+1806+28*M14</f>
        <v>23030</v>
      </c>
      <c r="Q14" s="178"/>
      <c r="R14" s="179"/>
      <c r="S14" s="179"/>
      <c r="T14" s="180"/>
      <c r="U14" s="774"/>
      <c r="V14" s="183"/>
      <c r="W14" s="184"/>
      <c r="X14" s="183"/>
      <c r="Y14" s="185" t="s">
        <v>189</v>
      </c>
    </row>
    <row r="15" spans="1:25" x14ac:dyDescent="0.25">
      <c r="A15" s="597">
        <f t="shared" si="2"/>
        <v>7</v>
      </c>
      <c r="B15" s="590">
        <f t="shared" si="0"/>
        <v>22025.5</v>
      </c>
      <c r="C15" s="590" t="str">
        <f t="shared" si="3"/>
        <v>/</v>
      </c>
      <c r="D15" s="601">
        <f t="shared" si="1"/>
        <v>23033.5</v>
      </c>
      <c r="E15" s="597">
        <f>E13+1</f>
        <v>3</v>
      </c>
      <c r="F15" s="590">
        <f>21196+808.5+7*E15</f>
        <v>22025.5</v>
      </c>
      <c r="G15" s="591" t="s">
        <v>106</v>
      </c>
      <c r="H15" s="601">
        <f>21196+1816.5+7*E15</f>
        <v>23033.5</v>
      </c>
      <c r="I15" s="597"/>
      <c r="J15" s="590"/>
      <c r="K15" s="590"/>
      <c r="L15" s="605"/>
      <c r="M15" s="597"/>
      <c r="N15" s="590"/>
      <c r="O15" s="590"/>
      <c r="P15" s="605"/>
      <c r="Q15" s="178"/>
      <c r="R15" s="179"/>
      <c r="S15" s="179"/>
      <c r="T15" s="180"/>
      <c r="U15" s="178"/>
      <c r="V15" s="186"/>
      <c r="W15" s="186"/>
      <c r="X15" s="181"/>
      <c r="Y15" s="187"/>
    </row>
    <row r="16" spans="1:25" x14ac:dyDescent="0.25">
      <c r="A16" s="597">
        <f t="shared" si="2"/>
        <v>8</v>
      </c>
      <c r="B16" s="590">
        <f t="shared" si="0"/>
        <v>22029</v>
      </c>
      <c r="C16" s="590" t="str">
        <f t="shared" si="3"/>
        <v>/</v>
      </c>
      <c r="D16" s="601">
        <f t="shared" si="1"/>
        <v>23037</v>
      </c>
      <c r="E16" s="597" t="s">
        <v>127</v>
      </c>
      <c r="F16" s="590"/>
      <c r="G16" s="591"/>
      <c r="H16" s="605"/>
      <c r="I16" s="597">
        <f>I12+1</f>
        <v>2</v>
      </c>
      <c r="J16" s="590">
        <f>21196+805+14*I16</f>
        <v>22029</v>
      </c>
      <c r="K16" s="591" t="s">
        <v>106</v>
      </c>
      <c r="L16" s="601">
        <f>21196+1813+14*I16</f>
        <v>23037</v>
      </c>
      <c r="M16" s="597"/>
      <c r="N16" s="590"/>
      <c r="O16" s="590"/>
      <c r="P16" s="605"/>
      <c r="Q16" s="178"/>
      <c r="R16" s="179"/>
      <c r="S16" s="179"/>
      <c r="T16" s="180"/>
      <c r="U16" s="178"/>
      <c r="V16" s="186"/>
      <c r="W16" s="186"/>
      <c r="X16" s="181"/>
      <c r="Y16" s="188"/>
    </row>
    <row r="17" spans="1:25" x14ac:dyDescent="0.25">
      <c r="A17" s="619">
        <f t="shared" si="2"/>
        <v>9</v>
      </c>
      <c r="B17" s="590">
        <f t="shared" si="0"/>
        <v>22032.5</v>
      </c>
      <c r="C17" s="590" t="str">
        <f t="shared" si="3"/>
        <v>/</v>
      </c>
      <c r="D17" s="601">
        <f t="shared" si="1"/>
        <v>23040.5</v>
      </c>
      <c r="E17" s="597">
        <f>E15+1</f>
        <v>4</v>
      </c>
      <c r="F17" s="590">
        <f>21196+808.5+7*E17</f>
        <v>22032.5</v>
      </c>
      <c r="G17" s="591" t="s">
        <v>106</v>
      </c>
      <c r="H17" s="601">
        <f>21196+1816.5+7*E17</f>
        <v>23040.5</v>
      </c>
      <c r="I17" s="597"/>
      <c r="J17" s="590"/>
      <c r="K17" s="590"/>
      <c r="L17" s="605"/>
      <c r="M17" s="597"/>
      <c r="N17" s="590"/>
      <c r="O17" s="590"/>
      <c r="P17" s="605"/>
      <c r="Q17" s="178"/>
      <c r="R17" s="179"/>
      <c r="S17" s="179"/>
      <c r="T17" s="180"/>
      <c r="U17" s="178"/>
      <c r="V17" s="186"/>
      <c r="W17" s="186"/>
      <c r="X17" s="181"/>
      <c r="Y17" s="598"/>
    </row>
    <row r="18" spans="1:25" x14ac:dyDescent="0.25">
      <c r="A18" s="192">
        <f t="shared" si="2"/>
        <v>10</v>
      </c>
      <c r="B18" s="190">
        <f t="shared" si="0"/>
        <v>22036</v>
      </c>
      <c r="C18" s="190" t="str">
        <f t="shared" si="3"/>
        <v>/</v>
      </c>
      <c r="D18" s="191">
        <f t="shared" si="1"/>
        <v>23044</v>
      </c>
      <c r="E18" s="192" t="s">
        <v>127</v>
      </c>
      <c r="F18" s="190"/>
      <c r="G18" s="193"/>
      <c r="H18" s="194"/>
      <c r="I18" s="192"/>
      <c r="J18" s="190"/>
      <c r="K18" s="190"/>
      <c r="L18" s="194"/>
      <c r="M18" s="192"/>
      <c r="N18" s="190"/>
      <c r="O18" s="190"/>
      <c r="P18" s="194"/>
      <c r="Q18" s="178"/>
      <c r="R18" s="30"/>
      <c r="S18" s="34"/>
      <c r="T18" s="195"/>
      <c r="U18" s="178"/>
      <c r="V18" s="186"/>
      <c r="W18" s="186"/>
      <c r="X18" s="181"/>
      <c r="Y18" s="614" t="s">
        <v>190</v>
      </c>
    </row>
    <row r="19" spans="1:25" x14ac:dyDescent="0.25">
      <c r="A19" s="597">
        <f t="shared" si="2"/>
        <v>11</v>
      </c>
      <c r="B19" s="590">
        <f t="shared" si="0"/>
        <v>22039.5</v>
      </c>
      <c r="C19" s="590" t="str">
        <f t="shared" si="3"/>
        <v>/</v>
      </c>
      <c r="D19" s="601">
        <f t="shared" si="1"/>
        <v>23047.5</v>
      </c>
      <c r="E19" s="597">
        <f>E17+1</f>
        <v>5</v>
      </c>
      <c r="F19" s="590">
        <f>21196+808.5+7*E19</f>
        <v>22039.5</v>
      </c>
      <c r="G19" s="591" t="s">
        <v>106</v>
      </c>
      <c r="H19" s="601">
        <f>21196+1816.5+7*E19</f>
        <v>23047.5</v>
      </c>
      <c r="I19" s="597"/>
      <c r="J19" s="590"/>
      <c r="K19" s="590"/>
      <c r="L19" s="605"/>
      <c r="M19" s="597"/>
      <c r="N19" s="590"/>
      <c r="O19" s="590"/>
      <c r="P19" s="605"/>
      <c r="Q19" s="178"/>
      <c r="R19" s="179"/>
      <c r="S19" s="179"/>
      <c r="T19" s="180"/>
      <c r="U19" s="178"/>
      <c r="V19" s="186"/>
      <c r="W19" s="186"/>
      <c r="X19" s="181"/>
      <c r="Y19" s="598"/>
    </row>
    <row r="20" spans="1:25" x14ac:dyDescent="0.25">
      <c r="A20" s="597">
        <f t="shared" si="2"/>
        <v>12</v>
      </c>
      <c r="B20" s="590">
        <f t="shared" si="0"/>
        <v>22043</v>
      </c>
      <c r="C20" s="590" t="str">
        <f t="shared" si="3"/>
        <v>/</v>
      </c>
      <c r="D20" s="601">
        <f t="shared" si="1"/>
        <v>23051</v>
      </c>
      <c r="E20" s="597" t="s">
        <v>127</v>
      </c>
      <c r="F20" s="590"/>
      <c r="G20" s="591"/>
      <c r="H20" s="605"/>
      <c r="I20" s="597">
        <f>I16+1</f>
        <v>3</v>
      </c>
      <c r="J20" s="590">
        <f>21196+805+14*I20</f>
        <v>22043</v>
      </c>
      <c r="K20" s="591" t="s">
        <v>106</v>
      </c>
      <c r="L20" s="601">
        <f>21196+1813+14*I20</f>
        <v>23051</v>
      </c>
      <c r="M20" s="597"/>
      <c r="N20" s="590"/>
      <c r="O20" s="590"/>
      <c r="P20" s="605"/>
      <c r="Q20" s="178"/>
      <c r="R20" s="179"/>
      <c r="S20" s="179"/>
      <c r="T20" s="180"/>
      <c r="U20" s="178"/>
      <c r="V20" s="186"/>
      <c r="W20" s="186"/>
      <c r="X20" s="181"/>
      <c r="Y20" s="188"/>
    </row>
    <row r="21" spans="1:25" ht="15.75" thickBot="1" x14ac:dyDescent="0.3">
      <c r="A21" s="597">
        <f t="shared" si="2"/>
        <v>13</v>
      </c>
      <c r="B21" s="590">
        <f t="shared" si="0"/>
        <v>22046.5</v>
      </c>
      <c r="C21" s="590" t="str">
        <f t="shared" si="3"/>
        <v>/</v>
      </c>
      <c r="D21" s="601">
        <f t="shared" si="1"/>
        <v>23054.5</v>
      </c>
      <c r="E21" s="597">
        <f>E19+1</f>
        <v>6</v>
      </c>
      <c r="F21" s="590">
        <f>21196+808.5+7*E21</f>
        <v>22046.5</v>
      </c>
      <c r="G21" s="591" t="s">
        <v>106</v>
      </c>
      <c r="H21" s="601">
        <f>21196+1816.5+7*E21</f>
        <v>23054.5</v>
      </c>
      <c r="I21" s="597"/>
      <c r="J21" s="590"/>
      <c r="K21" s="591"/>
      <c r="L21" s="601"/>
      <c r="M21" s="597"/>
      <c r="N21" s="590"/>
      <c r="O21" s="590"/>
      <c r="P21" s="605"/>
      <c r="Q21" s="178"/>
      <c r="R21" s="182"/>
      <c r="S21" s="179"/>
      <c r="T21" s="180"/>
      <c r="U21" s="178"/>
      <c r="V21" s="186"/>
      <c r="W21" s="186"/>
      <c r="X21" s="181"/>
      <c r="Y21" s="188"/>
    </row>
    <row r="22" spans="1:25" x14ac:dyDescent="0.25">
      <c r="A22" s="597">
        <f t="shared" si="2"/>
        <v>14</v>
      </c>
      <c r="B22" s="590">
        <f t="shared" si="0"/>
        <v>22050</v>
      </c>
      <c r="C22" s="590" t="str">
        <f t="shared" si="3"/>
        <v>/</v>
      </c>
      <c r="D22" s="601">
        <f t="shared" si="1"/>
        <v>23058</v>
      </c>
      <c r="E22" s="597" t="s">
        <v>127</v>
      </c>
      <c r="F22" s="590"/>
      <c r="G22" s="591"/>
      <c r="H22" s="605"/>
      <c r="I22" s="597"/>
      <c r="J22" s="590"/>
      <c r="K22" s="590"/>
      <c r="L22" s="605"/>
      <c r="M22" s="597">
        <f>M14+1</f>
        <v>2</v>
      </c>
      <c r="N22" s="590">
        <f>21196+798+28*M22</f>
        <v>22050</v>
      </c>
      <c r="O22" s="591" t="s">
        <v>106</v>
      </c>
      <c r="P22" s="601">
        <f>21196+1806+28*M22</f>
        <v>23058</v>
      </c>
      <c r="Q22" s="192"/>
      <c r="R22" s="196"/>
      <c r="S22" s="197"/>
      <c r="T22" s="196"/>
      <c r="U22" s="178"/>
      <c r="V22" s="186"/>
      <c r="W22" s="186"/>
      <c r="X22" s="181"/>
      <c r="Y22" s="187"/>
    </row>
    <row r="23" spans="1:25" x14ac:dyDescent="0.25">
      <c r="A23" s="597">
        <f t="shared" si="2"/>
        <v>15</v>
      </c>
      <c r="B23" s="590">
        <f t="shared" si="0"/>
        <v>22053.5</v>
      </c>
      <c r="C23" s="590" t="str">
        <f t="shared" si="3"/>
        <v>/</v>
      </c>
      <c r="D23" s="601">
        <f t="shared" si="1"/>
        <v>23061.5</v>
      </c>
      <c r="E23" s="597">
        <f>E21+1</f>
        <v>7</v>
      </c>
      <c r="F23" s="590">
        <f>21196+808.5+7*E23</f>
        <v>22053.5</v>
      </c>
      <c r="G23" s="591" t="s">
        <v>106</v>
      </c>
      <c r="H23" s="601">
        <f>21196+1816.5+7*E23</f>
        <v>23061.5</v>
      </c>
      <c r="I23" s="597"/>
      <c r="J23" s="590"/>
      <c r="K23" s="590"/>
      <c r="L23" s="605"/>
      <c r="M23" s="597"/>
      <c r="N23" s="590"/>
      <c r="O23" s="590"/>
      <c r="P23" s="605"/>
      <c r="Q23" s="178"/>
      <c r="R23" s="186"/>
      <c r="S23" s="186"/>
      <c r="T23" s="181"/>
      <c r="U23" s="178"/>
      <c r="V23" s="186"/>
      <c r="W23" s="186"/>
      <c r="X23" s="181"/>
      <c r="Y23" s="187"/>
    </row>
    <row r="24" spans="1:25" x14ac:dyDescent="0.25">
      <c r="A24" s="609">
        <f t="shared" si="2"/>
        <v>16</v>
      </c>
      <c r="B24" s="607">
        <f t="shared" si="0"/>
        <v>22057</v>
      </c>
      <c r="C24" s="607" t="str">
        <f t="shared" si="3"/>
        <v>/</v>
      </c>
      <c r="D24" s="608">
        <f t="shared" si="1"/>
        <v>23065</v>
      </c>
      <c r="E24" s="609" t="s">
        <v>127</v>
      </c>
      <c r="F24" s="607"/>
      <c r="G24" s="610"/>
      <c r="H24" s="611"/>
      <c r="I24" s="609">
        <f>I20+1</f>
        <v>4</v>
      </c>
      <c r="J24" s="607">
        <f>21196+805+14*I24</f>
        <v>22057</v>
      </c>
      <c r="K24" s="610" t="s">
        <v>106</v>
      </c>
      <c r="L24" s="608">
        <f>21196+1813+14*I24</f>
        <v>23065</v>
      </c>
      <c r="M24" s="609"/>
      <c r="N24" s="607"/>
      <c r="O24" s="607"/>
      <c r="P24" s="611"/>
      <c r="Q24" s="198"/>
      <c r="R24" s="200"/>
      <c r="S24" s="200"/>
      <c r="T24" s="199"/>
      <c r="U24" s="198"/>
      <c r="V24" s="200"/>
      <c r="W24" s="200"/>
      <c r="X24" s="199"/>
      <c r="Y24" s="201"/>
    </row>
    <row r="25" spans="1:25" x14ac:dyDescent="0.25">
      <c r="A25" s="597">
        <f t="shared" si="2"/>
        <v>17</v>
      </c>
      <c r="B25" s="590">
        <f t="shared" si="0"/>
        <v>22060.5</v>
      </c>
      <c r="C25" s="590" t="str">
        <f t="shared" si="3"/>
        <v>/</v>
      </c>
      <c r="D25" s="601">
        <f t="shared" si="1"/>
        <v>23068.5</v>
      </c>
      <c r="E25" s="597">
        <f>E23+1</f>
        <v>8</v>
      </c>
      <c r="F25" s="590">
        <f>21196+808.5+7*E25</f>
        <v>22060.5</v>
      </c>
      <c r="G25" s="591" t="s">
        <v>106</v>
      </c>
      <c r="H25" s="601">
        <f>21196+1816.5+7*E25</f>
        <v>23068.5</v>
      </c>
      <c r="I25" s="597"/>
      <c r="J25" s="590"/>
      <c r="K25" s="590"/>
      <c r="L25" s="605"/>
      <c r="M25" s="597"/>
      <c r="N25" s="590"/>
      <c r="O25" s="590"/>
      <c r="P25" s="605"/>
      <c r="Q25" s="178"/>
      <c r="R25" s="186"/>
      <c r="S25" s="186"/>
      <c r="T25" s="181"/>
      <c r="U25" s="178"/>
      <c r="V25" s="186"/>
      <c r="W25" s="186"/>
      <c r="X25" s="181"/>
      <c r="Y25" s="187"/>
    </row>
    <row r="26" spans="1:25" x14ac:dyDescent="0.25">
      <c r="A26" s="192">
        <f t="shared" si="2"/>
        <v>18</v>
      </c>
      <c r="B26" s="190">
        <f t="shared" si="0"/>
        <v>22064</v>
      </c>
      <c r="C26" s="190" t="str">
        <f t="shared" si="3"/>
        <v>/</v>
      </c>
      <c r="D26" s="191">
        <f t="shared" si="1"/>
        <v>23072</v>
      </c>
      <c r="E26" s="192"/>
      <c r="F26" s="190"/>
      <c r="G26" s="193"/>
      <c r="H26" s="194"/>
      <c r="I26" s="192"/>
      <c r="J26" s="190"/>
      <c r="K26" s="193"/>
      <c r="L26" s="191"/>
      <c r="M26" s="192"/>
      <c r="N26" s="190"/>
      <c r="O26" s="190"/>
      <c r="P26" s="194"/>
      <c r="Q26" s="178"/>
      <c r="R26" s="186"/>
      <c r="S26" s="186"/>
      <c r="T26" s="181"/>
      <c r="U26" s="178"/>
      <c r="V26" s="186"/>
      <c r="W26" s="186"/>
      <c r="X26" s="181"/>
      <c r="Y26" s="187"/>
    </row>
    <row r="27" spans="1:25" x14ac:dyDescent="0.25">
      <c r="A27" s="597">
        <f t="shared" si="2"/>
        <v>19</v>
      </c>
      <c r="B27" s="590">
        <f t="shared" si="0"/>
        <v>22067.5</v>
      </c>
      <c r="C27" s="590" t="str">
        <f t="shared" si="3"/>
        <v>/</v>
      </c>
      <c r="D27" s="601">
        <f t="shared" si="1"/>
        <v>23075.5</v>
      </c>
      <c r="E27" s="597">
        <f>E25+1</f>
        <v>9</v>
      </c>
      <c r="F27" s="590">
        <f>21196+808.5+7*E27</f>
        <v>22067.5</v>
      </c>
      <c r="G27" s="591" t="s">
        <v>106</v>
      </c>
      <c r="H27" s="601">
        <f>21196+1816.5+7*E27</f>
        <v>23075.5</v>
      </c>
      <c r="I27" s="597"/>
      <c r="J27" s="590"/>
      <c r="K27" s="591"/>
      <c r="L27" s="601"/>
      <c r="M27" s="597"/>
      <c r="N27" s="590"/>
      <c r="O27" s="590"/>
      <c r="P27" s="605"/>
      <c r="Q27" s="178"/>
      <c r="R27" s="186"/>
      <c r="S27" s="186"/>
      <c r="T27" s="181"/>
      <c r="U27" s="178"/>
      <c r="V27" s="186"/>
      <c r="W27" s="186"/>
      <c r="X27" s="181"/>
      <c r="Y27" s="187"/>
    </row>
    <row r="28" spans="1:25" x14ac:dyDescent="0.25">
      <c r="A28" s="597">
        <f t="shared" si="2"/>
        <v>20</v>
      </c>
      <c r="B28" s="590">
        <f t="shared" si="0"/>
        <v>22071</v>
      </c>
      <c r="C28" s="590" t="str">
        <f t="shared" si="3"/>
        <v>/</v>
      </c>
      <c r="D28" s="601">
        <f t="shared" si="1"/>
        <v>23079</v>
      </c>
      <c r="E28" s="597"/>
      <c r="F28" s="590"/>
      <c r="G28" s="591"/>
      <c r="H28" s="605"/>
      <c r="I28" s="597">
        <f>I24+1</f>
        <v>5</v>
      </c>
      <c r="J28" s="590">
        <f>21196+805+14*I28</f>
        <v>22071</v>
      </c>
      <c r="K28" s="591" t="s">
        <v>106</v>
      </c>
      <c r="L28" s="601">
        <f>21196+1813+14*I28</f>
        <v>23079</v>
      </c>
      <c r="M28" s="597"/>
      <c r="N28" s="590"/>
      <c r="O28" s="590"/>
      <c r="P28" s="605"/>
      <c r="Q28" s="178"/>
      <c r="R28" s="186"/>
      <c r="S28" s="186"/>
      <c r="T28" s="181"/>
      <c r="U28" s="178"/>
      <c r="V28" s="186"/>
      <c r="W28" s="186"/>
      <c r="X28" s="181"/>
      <c r="Y28" s="187"/>
    </row>
    <row r="29" spans="1:25" x14ac:dyDescent="0.25">
      <c r="A29" s="597">
        <f t="shared" si="2"/>
        <v>21</v>
      </c>
      <c r="B29" s="590">
        <f t="shared" si="0"/>
        <v>22074.5</v>
      </c>
      <c r="C29" s="590" t="str">
        <f t="shared" si="3"/>
        <v>/</v>
      </c>
      <c r="D29" s="601">
        <f t="shared" si="1"/>
        <v>23082.5</v>
      </c>
      <c r="E29" s="597">
        <f>E27+1</f>
        <v>10</v>
      </c>
      <c r="F29" s="590">
        <f>21196+808.5+7*E29</f>
        <v>22074.5</v>
      </c>
      <c r="G29" s="591" t="s">
        <v>106</v>
      </c>
      <c r="H29" s="601">
        <f>21196+1816.5+7*E29</f>
        <v>23082.5</v>
      </c>
      <c r="I29" s="597"/>
      <c r="J29" s="590"/>
      <c r="K29" s="590"/>
      <c r="L29" s="605"/>
      <c r="M29" s="597"/>
      <c r="N29" s="590"/>
      <c r="O29" s="591"/>
      <c r="P29" s="605"/>
      <c r="Q29" s="178"/>
      <c r="R29" s="186"/>
      <c r="S29" s="186"/>
      <c r="T29" s="181"/>
      <c r="U29" s="178"/>
      <c r="V29" s="186"/>
      <c r="W29" s="186"/>
      <c r="X29" s="181"/>
      <c r="Y29" s="187"/>
    </row>
    <row r="30" spans="1:25" x14ac:dyDescent="0.25">
      <c r="A30" s="597">
        <f t="shared" si="2"/>
        <v>22</v>
      </c>
      <c r="B30" s="590">
        <f t="shared" si="0"/>
        <v>22078</v>
      </c>
      <c r="C30" s="590" t="str">
        <f t="shared" si="3"/>
        <v>/</v>
      </c>
      <c r="D30" s="601">
        <f t="shared" si="1"/>
        <v>23086</v>
      </c>
      <c r="E30" s="597"/>
      <c r="F30" s="590"/>
      <c r="G30" s="591"/>
      <c r="H30" s="605"/>
      <c r="I30" s="597"/>
      <c r="J30" s="590"/>
      <c r="K30" s="591"/>
      <c r="L30" s="601"/>
      <c r="M30" s="597">
        <f>M22+1</f>
        <v>3</v>
      </c>
      <c r="N30" s="590">
        <f>21196+798+28*M30</f>
        <v>22078</v>
      </c>
      <c r="O30" s="591" t="s">
        <v>106</v>
      </c>
      <c r="P30" s="601">
        <f>21196+1806+28*M30</f>
        <v>23086</v>
      </c>
      <c r="Q30" s="597">
        <v>1</v>
      </c>
      <c r="R30" s="590">
        <f>21196+826+56*Q30</f>
        <v>22078</v>
      </c>
      <c r="S30" s="591" t="s">
        <v>106</v>
      </c>
      <c r="T30" s="601">
        <f>21196+1834+56*Q30</f>
        <v>23086</v>
      </c>
      <c r="U30" s="597">
        <v>1</v>
      </c>
      <c r="V30" s="590">
        <f>21196+770+112*U30</f>
        <v>22078</v>
      </c>
      <c r="W30" s="591" t="s">
        <v>106</v>
      </c>
      <c r="X30" s="601">
        <f>21196+1778+112*U30</f>
        <v>23086</v>
      </c>
      <c r="Y30" s="202"/>
    </row>
    <row r="31" spans="1:25" x14ac:dyDescent="0.25">
      <c r="A31" s="597">
        <f t="shared" si="2"/>
        <v>23</v>
      </c>
      <c r="B31" s="590">
        <f t="shared" si="0"/>
        <v>22081.5</v>
      </c>
      <c r="C31" s="590" t="str">
        <f t="shared" si="3"/>
        <v>/</v>
      </c>
      <c r="D31" s="601">
        <f t="shared" si="1"/>
        <v>23089.5</v>
      </c>
      <c r="E31" s="597">
        <f>E29+1</f>
        <v>11</v>
      </c>
      <c r="F31" s="590">
        <f>21196+808.5+7*E31</f>
        <v>22081.5</v>
      </c>
      <c r="G31" s="591" t="s">
        <v>106</v>
      </c>
      <c r="H31" s="601">
        <f>21196+1816.5+7*E31</f>
        <v>23089.5</v>
      </c>
      <c r="I31" s="597"/>
      <c r="J31" s="590"/>
      <c r="K31" s="590"/>
      <c r="L31" s="605"/>
      <c r="M31" s="597"/>
      <c r="N31" s="590"/>
      <c r="O31" s="590"/>
      <c r="P31" s="605"/>
      <c r="Q31" s="178"/>
      <c r="R31" s="186"/>
      <c r="S31" s="186"/>
      <c r="T31" s="181"/>
      <c r="U31" s="178"/>
      <c r="V31" s="186"/>
      <c r="W31" s="186"/>
      <c r="X31" s="181"/>
      <c r="Y31" s="187"/>
    </row>
    <row r="32" spans="1:25" x14ac:dyDescent="0.25">
      <c r="A32" s="597">
        <f t="shared" si="2"/>
        <v>24</v>
      </c>
      <c r="B32" s="590">
        <f t="shared" si="0"/>
        <v>22085</v>
      </c>
      <c r="C32" s="590" t="str">
        <f t="shared" si="3"/>
        <v>/</v>
      </c>
      <c r="D32" s="601">
        <f t="shared" si="1"/>
        <v>23093</v>
      </c>
      <c r="E32" s="597"/>
      <c r="F32" s="590"/>
      <c r="G32" s="591"/>
      <c r="H32" s="605"/>
      <c r="I32" s="597">
        <f>I28+1</f>
        <v>6</v>
      </c>
      <c r="J32" s="590">
        <f>21196+805+14*I32</f>
        <v>22085</v>
      </c>
      <c r="K32" s="591" t="s">
        <v>106</v>
      </c>
      <c r="L32" s="601">
        <f>21196+1813+14*I32</f>
        <v>23093</v>
      </c>
      <c r="M32" s="597"/>
      <c r="N32" s="590"/>
      <c r="O32" s="590"/>
      <c r="P32" s="605"/>
      <c r="Q32" s="178"/>
      <c r="R32" s="186"/>
      <c r="S32" s="186"/>
      <c r="T32" s="181"/>
      <c r="U32" s="178"/>
      <c r="V32" s="186"/>
      <c r="W32" s="186"/>
      <c r="X32" s="181"/>
      <c r="Y32" s="187"/>
    </row>
    <row r="33" spans="1:25" x14ac:dyDescent="0.25">
      <c r="A33" s="597">
        <f t="shared" si="2"/>
        <v>25</v>
      </c>
      <c r="B33" s="590">
        <f t="shared" si="0"/>
        <v>22088.5</v>
      </c>
      <c r="C33" s="590" t="str">
        <f t="shared" si="3"/>
        <v>/</v>
      </c>
      <c r="D33" s="601">
        <f t="shared" si="1"/>
        <v>23096.5</v>
      </c>
      <c r="E33" s="597">
        <f>E31+1</f>
        <v>12</v>
      </c>
      <c r="F33" s="590">
        <f>21196+808.5+7*E33</f>
        <v>22088.5</v>
      </c>
      <c r="G33" s="591" t="s">
        <v>106</v>
      </c>
      <c r="H33" s="601">
        <f>21196+1816.5+7*E33</f>
        <v>23096.5</v>
      </c>
      <c r="I33" s="597"/>
      <c r="J33" s="590"/>
      <c r="K33" s="590"/>
      <c r="L33" s="605"/>
      <c r="M33" s="597"/>
      <c r="N33" s="590"/>
      <c r="O33" s="590"/>
      <c r="P33" s="605"/>
      <c r="Q33" s="178"/>
      <c r="R33" s="186"/>
      <c r="S33" s="186"/>
      <c r="T33" s="181"/>
      <c r="U33" s="178"/>
      <c r="V33" s="186"/>
      <c r="W33" s="186"/>
      <c r="X33" s="181"/>
      <c r="Y33" s="187"/>
    </row>
    <row r="34" spans="1:25" x14ac:dyDescent="0.25">
      <c r="A34" s="192">
        <f t="shared" si="2"/>
        <v>26</v>
      </c>
      <c r="B34" s="190">
        <f t="shared" si="0"/>
        <v>22092</v>
      </c>
      <c r="C34" s="190" t="str">
        <f t="shared" si="3"/>
        <v>/</v>
      </c>
      <c r="D34" s="191">
        <f t="shared" si="1"/>
        <v>23100</v>
      </c>
      <c r="E34" s="192"/>
      <c r="F34" s="190"/>
      <c r="G34" s="193"/>
      <c r="H34" s="194"/>
      <c r="I34" s="192"/>
      <c r="J34" s="190"/>
      <c r="K34" s="190"/>
      <c r="L34" s="194"/>
      <c r="M34" s="192"/>
      <c r="N34" s="190"/>
      <c r="O34" s="190"/>
      <c r="P34" s="194"/>
      <c r="Q34" s="178"/>
      <c r="R34" s="186"/>
      <c r="S34" s="186"/>
      <c r="T34" s="181"/>
      <c r="U34" s="178"/>
      <c r="V34" s="186"/>
      <c r="W34" s="186"/>
      <c r="X34" s="181"/>
      <c r="Y34" s="187"/>
    </row>
    <row r="35" spans="1:25" x14ac:dyDescent="0.25">
      <c r="A35" s="597">
        <f t="shared" si="2"/>
        <v>27</v>
      </c>
      <c r="B35" s="590">
        <f t="shared" si="0"/>
        <v>22095.5</v>
      </c>
      <c r="C35" s="590" t="str">
        <f t="shared" si="3"/>
        <v>/</v>
      </c>
      <c r="D35" s="601">
        <f t="shared" si="1"/>
        <v>23103.5</v>
      </c>
      <c r="E35" s="597">
        <f>E33+1</f>
        <v>13</v>
      </c>
      <c r="F35" s="590">
        <f>21196+808.5+7*E35</f>
        <v>22095.5</v>
      </c>
      <c r="G35" s="591" t="s">
        <v>106</v>
      </c>
      <c r="H35" s="601">
        <f>21196+1816.5+7*E35</f>
        <v>23103.5</v>
      </c>
      <c r="I35" s="597"/>
      <c r="J35" s="590"/>
      <c r="K35" s="591"/>
      <c r="L35" s="605"/>
      <c r="M35" s="597"/>
      <c r="N35" s="590"/>
      <c r="O35" s="590"/>
      <c r="P35" s="605"/>
      <c r="Q35" s="178"/>
      <c r="R35" s="186"/>
      <c r="S35" s="186"/>
      <c r="T35" s="181"/>
      <c r="U35" s="178"/>
      <c r="V35" s="186"/>
      <c r="W35" s="186"/>
      <c r="X35" s="181"/>
      <c r="Y35" s="187"/>
    </row>
    <row r="36" spans="1:25" x14ac:dyDescent="0.25">
      <c r="A36" s="597">
        <f t="shared" si="2"/>
        <v>28</v>
      </c>
      <c r="B36" s="590">
        <f t="shared" si="0"/>
        <v>22099</v>
      </c>
      <c r="C36" s="590" t="str">
        <f t="shared" si="3"/>
        <v>/</v>
      </c>
      <c r="D36" s="601">
        <f t="shared" si="1"/>
        <v>23107</v>
      </c>
      <c r="E36" s="597"/>
      <c r="F36" s="590"/>
      <c r="G36" s="591"/>
      <c r="H36" s="605"/>
      <c r="I36" s="597">
        <f>I32+1</f>
        <v>7</v>
      </c>
      <c r="J36" s="590">
        <f>21196+805+14*I36</f>
        <v>22099</v>
      </c>
      <c r="K36" s="591" t="s">
        <v>106</v>
      </c>
      <c r="L36" s="601">
        <f>21196+1813+14*I36</f>
        <v>23107</v>
      </c>
      <c r="M36" s="597"/>
      <c r="N36" s="590"/>
      <c r="O36" s="590"/>
      <c r="P36" s="605"/>
      <c r="Q36" s="178"/>
      <c r="R36" s="186"/>
      <c r="S36" s="186"/>
      <c r="T36" s="181"/>
      <c r="U36" s="178"/>
      <c r="V36" s="186"/>
      <c r="W36" s="186"/>
      <c r="X36" s="181"/>
      <c r="Y36" s="187"/>
    </row>
    <row r="37" spans="1:25" x14ac:dyDescent="0.25">
      <c r="A37" s="597">
        <f t="shared" si="2"/>
        <v>29</v>
      </c>
      <c r="B37" s="590">
        <f t="shared" si="0"/>
        <v>22102.5</v>
      </c>
      <c r="C37" s="590" t="str">
        <f t="shared" si="3"/>
        <v>/</v>
      </c>
      <c r="D37" s="601">
        <f t="shared" si="1"/>
        <v>23110.5</v>
      </c>
      <c r="E37" s="597">
        <f>E35+1</f>
        <v>14</v>
      </c>
      <c r="F37" s="590">
        <f>21196+808.5+7*E37</f>
        <v>22102.5</v>
      </c>
      <c r="G37" s="591" t="s">
        <v>106</v>
      </c>
      <c r="H37" s="601">
        <f>21196+1816.5+7*E37</f>
        <v>23110.5</v>
      </c>
      <c r="I37" s="597"/>
      <c r="J37" s="590"/>
      <c r="K37" s="590"/>
      <c r="L37" s="605"/>
      <c r="M37" s="597"/>
      <c r="N37" s="590"/>
      <c r="O37" s="591"/>
      <c r="P37" s="605"/>
      <c r="Q37" s="178"/>
      <c r="R37" s="186"/>
      <c r="S37" s="186"/>
      <c r="T37" s="181"/>
      <c r="U37" s="178"/>
      <c r="V37" s="186"/>
      <c r="W37" s="186"/>
      <c r="X37" s="181"/>
      <c r="Y37" s="202"/>
    </row>
    <row r="38" spans="1:25" x14ac:dyDescent="0.25">
      <c r="A38" s="597">
        <f t="shared" si="2"/>
        <v>30</v>
      </c>
      <c r="B38" s="590">
        <f t="shared" si="0"/>
        <v>22106</v>
      </c>
      <c r="C38" s="590" t="str">
        <f t="shared" si="3"/>
        <v>/</v>
      </c>
      <c r="D38" s="601">
        <f t="shared" si="1"/>
        <v>23114</v>
      </c>
      <c r="E38" s="597"/>
      <c r="F38" s="590"/>
      <c r="G38" s="591"/>
      <c r="H38" s="605"/>
      <c r="I38" s="597"/>
      <c r="J38" s="590"/>
      <c r="K38" s="590"/>
      <c r="L38" s="605"/>
      <c r="M38" s="597">
        <f>M30+1</f>
        <v>4</v>
      </c>
      <c r="N38" s="590">
        <f>21196+798+28*M38</f>
        <v>22106</v>
      </c>
      <c r="O38" s="591" t="s">
        <v>106</v>
      </c>
      <c r="P38" s="601">
        <f>21196+1806+28*M38</f>
        <v>23114</v>
      </c>
      <c r="Q38" s="192"/>
      <c r="R38" s="197"/>
      <c r="S38" s="197"/>
      <c r="T38" s="194"/>
      <c r="U38" s="178"/>
      <c r="V38" s="186"/>
      <c r="W38" s="186"/>
      <c r="X38" s="181"/>
      <c r="Y38" s="187"/>
    </row>
    <row r="39" spans="1:25" x14ac:dyDescent="0.25">
      <c r="A39" s="597">
        <f t="shared" si="2"/>
        <v>31</v>
      </c>
      <c r="B39" s="590">
        <f t="shared" si="0"/>
        <v>22109.5</v>
      </c>
      <c r="C39" s="590" t="str">
        <f t="shared" si="3"/>
        <v>/</v>
      </c>
      <c r="D39" s="601">
        <f t="shared" si="1"/>
        <v>23117.5</v>
      </c>
      <c r="E39" s="597">
        <f>E37+1</f>
        <v>15</v>
      </c>
      <c r="F39" s="590">
        <f>21196+808.5+7*E39</f>
        <v>22109.5</v>
      </c>
      <c r="G39" s="591" t="s">
        <v>106</v>
      </c>
      <c r="H39" s="601">
        <f>21196+1816.5+7*E39</f>
        <v>23117.5</v>
      </c>
      <c r="I39" s="597"/>
      <c r="J39" s="590"/>
      <c r="K39" s="591"/>
      <c r="L39" s="605"/>
      <c r="M39" s="597"/>
      <c r="N39" s="590"/>
      <c r="O39" s="590"/>
      <c r="P39" s="605"/>
      <c r="Q39" s="178"/>
      <c r="R39" s="186"/>
      <c r="S39" s="186"/>
      <c r="T39" s="181"/>
      <c r="U39" s="178"/>
      <c r="V39" s="186"/>
      <c r="W39" s="186"/>
      <c r="X39" s="181"/>
      <c r="Y39" s="187"/>
    </row>
    <row r="40" spans="1:25" x14ac:dyDescent="0.25">
      <c r="A40" s="597">
        <f t="shared" si="2"/>
        <v>32</v>
      </c>
      <c r="B40" s="590">
        <f t="shared" si="0"/>
        <v>22113</v>
      </c>
      <c r="C40" s="590" t="str">
        <f t="shared" si="3"/>
        <v>/</v>
      </c>
      <c r="D40" s="601">
        <f t="shared" si="1"/>
        <v>23121</v>
      </c>
      <c r="E40" s="597"/>
      <c r="F40" s="590"/>
      <c r="G40" s="591"/>
      <c r="H40" s="605"/>
      <c r="I40" s="597">
        <f>I36+1</f>
        <v>8</v>
      </c>
      <c r="J40" s="590">
        <f>21196+805+14*I40</f>
        <v>22113</v>
      </c>
      <c r="K40" s="591" t="s">
        <v>106</v>
      </c>
      <c r="L40" s="601">
        <f>21196+1813+14*I40</f>
        <v>23121</v>
      </c>
      <c r="M40" s="597"/>
      <c r="N40" s="590"/>
      <c r="O40" s="590"/>
      <c r="P40" s="605"/>
      <c r="Q40" s="178"/>
      <c r="R40" s="186"/>
      <c r="S40" s="186"/>
      <c r="T40" s="181"/>
      <c r="U40" s="178"/>
      <c r="V40" s="186"/>
      <c r="W40" s="186"/>
      <c r="X40" s="181"/>
      <c r="Y40" s="187"/>
    </row>
    <row r="41" spans="1:25" x14ac:dyDescent="0.25">
      <c r="A41" s="597">
        <f t="shared" si="2"/>
        <v>33</v>
      </c>
      <c r="B41" s="590">
        <f t="shared" si="0"/>
        <v>22116.5</v>
      </c>
      <c r="C41" s="590" t="str">
        <f t="shared" si="3"/>
        <v>/</v>
      </c>
      <c r="D41" s="601">
        <f t="shared" si="1"/>
        <v>23124.5</v>
      </c>
      <c r="E41" s="597">
        <f>E39+1</f>
        <v>16</v>
      </c>
      <c r="F41" s="590">
        <f>21196+808.5+7*E41</f>
        <v>22116.5</v>
      </c>
      <c r="G41" s="591" t="s">
        <v>106</v>
      </c>
      <c r="H41" s="601">
        <f>21196+1816.5+7*E41</f>
        <v>23124.5</v>
      </c>
      <c r="I41" s="597"/>
      <c r="J41" s="590"/>
      <c r="K41" s="590"/>
      <c r="L41" s="605"/>
      <c r="M41" s="597"/>
      <c r="N41" s="590"/>
      <c r="O41" s="590"/>
      <c r="P41" s="605"/>
      <c r="Q41" s="178"/>
      <c r="R41" s="186"/>
      <c r="S41" s="186"/>
      <c r="T41" s="181"/>
      <c r="U41" s="178"/>
      <c r="V41" s="186"/>
      <c r="W41" s="186"/>
      <c r="X41" s="181"/>
      <c r="Y41" s="599"/>
    </row>
    <row r="42" spans="1:25" x14ac:dyDescent="0.25">
      <c r="A42" s="192">
        <f t="shared" si="2"/>
        <v>34</v>
      </c>
      <c r="B42" s="190">
        <f t="shared" si="0"/>
        <v>22120</v>
      </c>
      <c r="C42" s="190" t="str">
        <f t="shared" si="3"/>
        <v>/</v>
      </c>
      <c r="D42" s="191">
        <f t="shared" si="1"/>
        <v>23128</v>
      </c>
      <c r="E42" s="192"/>
      <c r="F42" s="190"/>
      <c r="G42" s="193"/>
      <c r="H42" s="194"/>
      <c r="I42" s="192"/>
      <c r="J42" s="190"/>
      <c r="K42" s="190"/>
      <c r="L42" s="194"/>
      <c r="M42" s="192"/>
      <c r="N42" s="190"/>
      <c r="O42" s="190"/>
      <c r="P42" s="194"/>
      <c r="Q42" s="178"/>
      <c r="R42" s="186"/>
      <c r="S42" s="186"/>
      <c r="T42" s="181"/>
      <c r="U42" s="178"/>
      <c r="V42" s="186"/>
      <c r="W42" s="186"/>
      <c r="X42" s="181"/>
      <c r="Y42" s="614" t="s">
        <v>190</v>
      </c>
    </row>
    <row r="43" spans="1:25" x14ac:dyDescent="0.25">
      <c r="A43" s="597">
        <f t="shared" si="2"/>
        <v>35</v>
      </c>
      <c r="B43" s="590">
        <f t="shared" si="0"/>
        <v>22123.5</v>
      </c>
      <c r="C43" s="590" t="str">
        <f t="shared" si="3"/>
        <v>/</v>
      </c>
      <c r="D43" s="601">
        <f t="shared" si="1"/>
        <v>23131.5</v>
      </c>
      <c r="E43" s="597">
        <f>E41+1</f>
        <v>17</v>
      </c>
      <c r="F43" s="590">
        <f>21196+808.5+7*E43</f>
        <v>22123.5</v>
      </c>
      <c r="G43" s="591" t="s">
        <v>106</v>
      </c>
      <c r="H43" s="601">
        <f>21196+1816.5+7*E43</f>
        <v>23131.5</v>
      </c>
      <c r="I43" s="597"/>
      <c r="J43" s="590"/>
      <c r="K43" s="591"/>
      <c r="L43" s="605"/>
      <c r="M43" s="597"/>
      <c r="N43" s="590"/>
      <c r="O43" s="590"/>
      <c r="P43" s="605"/>
      <c r="Q43" s="178"/>
      <c r="R43" s="186"/>
      <c r="S43" s="186"/>
      <c r="T43" s="181"/>
      <c r="U43" s="178"/>
      <c r="V43" s="186"/>
      <c r="W43" s="186"/>
      <c r="X43" s="181"/>
      <c r="Y43" s="598"/>
    </row>
    <row r="44" spans="1:25" x14ac:dyDescent="0.25">
      <c r="A44" s="597">
        <f t="shared" si="2"/>
        <v>36</v>
      </c>
      <c r="B44" s="590">
        <f t="shared" si="0"/>
        <v>22127</v>
      </c>
      <c r="C44" s="590" t="str">
        <f t="shared" si="3"/>
        <v>/</v>
      </c>
      <c r="D44" s="601">
        <f t="shared" si="1"/>
        <v>23135</v>
      </c>
      <c r="E44" s="597"/>
      <c r="F44" s="590"/>
      <c r="G44" s="591"/>
      <c r="H44" s="605"/>
      <c r="I44" s="597">
        <f>I40+1</f>
        <v>9</v>
      </c>
      <c r="J44" s="590">
        <f>21196+805+14*I44</f>
        <v>22127</v>
      </c>
      <c r="K44" s="591" t="s">
        <v>106</v>
      </c>
      <c r="L44" s="601">
        <f>21196+1813+14*I44</f>
        <v>23135</v>
      </c>
      <c r="M44" s="597"/>
      <c r="N44" s="590"/>
      <c r="O44" s="590"/>
      <c r="P44" s="605"/>
      <c r="Q44" s="178"/>
      <c r="R44" s="186"/>
      <c r="S44" s="186"/>
      <c r="T44" s="181"/>
      <c r="U44" s="178"/>
      <c r="V44" s="186"/>
      <c r="W44" s="186"/>
      <c r="X44" s="181"/>
      <c r="Y44" s="187"/>
    </row>
    <row r="45" spans="1:25" x14ac:dyDescent="0.25">
      <c r="A45" s="597">
        <f t="shared" si="2"/>
        <v>37</v>
      </c>
      <c r="B45" s="590">
        <f t="shared" si="0"/>
        <v>22130.5</v>
      </c>
      <c r="C45" s="590" t="str">
        <f t="shared" si="3"/>
        <v>/</v>
      </c>
      <c r="D45" s="601">
        <f t="shared" si="1"/>
        <v>23138.5</v>
      </c>
      <c r="E45" s="597">
        <f>E43+1</f>
        <v>18</v>
      </c>
      <c r="F45" s="590">
        <f>21196+808.5+7*E45</f>
        <v>22130.5</v>
      </c>
      <c r="G45" s="591" t="s">
        <v>106</v>
      </c>
      <c r="H45" s="601">
        <f>21196+1816.5+7*E45</f>
        <v>23138.5</v>
      </c>
      <c r="I45" s="597"/>
      <c r="J45" s="590"/>
      <c r="K45" s="590"/>
      <c r="L45" s="605"/>
      <c r="M45" s="597"/>
      <c r="N45" s="590"/>
      <c r="O45" s="591"/>
      <c r="P45" s="605"/>
      <c r="Q45" s="178"/>
      <c r="R45" s="186"/>
      <c r="S45" s="186"/>
      <c r="T45" s="181"/>
      <c r="U45" s="178"/>
      <c r="V45" s="186"/>
      <c r="W45" s="186"/>
      <c r="X45" s="181"/>
      <c r="Y45" s="187"/>
    </row>
    <row r="46" spans="1:25" x14ac:dyDescent="0.25">
      <c r="A46" s="597">
        <f t="shared" si="2"/>
        <v>38</v>
      </c>
      <c r="B46" s="590">
        <f t="shared" si="0"/>
        <v>22134</v>
      </c>
      <c r="C46" s="590" t="str">
        <f t="shared" si="3"/>
        <v>/</v>
      </c>
      <c r="D46" s="601">
        <f t="shared" si="1"/>
        <v>23142</v>
      </c>
      <c r="E46" s="597"/>
      <c r="F46" s="590"/>
      <c r="G46" s="591"/>
      <c r="H46" s="605"/>
      <c r="I46" s="597"/>
      <c r="J46" s="590"/>
      <c r="K46" s="590"/>
      <c r="L46" s="605"/>
      <c r="M46" s="597">
        <f>M38+1</f>
        <v>5</v>
      </c>
      <c r="N46" s="590">
        <f>21196+798+28*M46</f>
        <v>22134</v>
      </c>
      <c r="O46" s="591" t="s">
        <v>106</v>
      </c>
      <c r="P46" s="601">
        <f>21196+1806+28*M46</f>
        <v>23142</v>
      </c>
      <c r="Q46" s="597">
        <f>Q30+1</f>
        <v>2</v>
      </c>
      <c r="R46" s="590">
        <f>21196+826+56*Q46</f>
        <v>22134</v>
      </c>
      <c r="S46" s="591" t="s">
        <v>106</v>
      </c>
      <c r="T46" s="601">
        <f>21196+1834+56*Q46</f>
        <v>23142</v>
      </c>
      <c r="U46" s="192"/>
      <c r="V46" s="197"/>
      <c r="W46" s="197"/>
      <c r="X46" s="194"/>
      <c r="Y46" s="187"/>
    </row>
    <row r="47" spans="1:25" x14ac:dyDescent="0.25">
      <c r="A47" s="597">
        <f t="shared" si="2"/>
        <v>39</v>
      </c>
      <c r="B47" s="590">
        <f t="shared" si="0"/>
        <v>22137.5</v>
      </c>
      <c r="C47" s="590" t="str">
        <f t="shared" si="3"/>
        <v>/</v>
      </c>
      <c r="D47" s="601">
        <f t="shared" si="1"/>
        <v>23145.5</v>
      </c>
      <c r="E47" s="597">
        <f>E45+1</f>
        <v>19</v>
      </c>
      <c r="F47" s="590">
        <f>21196+808.5+7*E47</f>
        <v>22137.5</v>
      </c>
      <c r="G47" s="591" t="s">
        <v>106</v>
      </c>
      <c r="H47" s="601">
        <f>21196+1816.5+7*E47</f>
        <v>23145.5</v>
      </c>
      <c r="I47" s="597"/>
      <c r="J47" s="590"/>
      <c r="K47" s="591"/>
      <c r="L47" s="605"/>
      <c r="M47" s="597"/>
      <c r="N47" s="590"/>
      <c r="O47" s="590"/>
      <c r="P47" s="605"/>
      <c r="Q47" s="178"/>
      <c r="R47" s="186"/>
      <c r="S47" s="186"/>
      <c r="T47" s="181"/>
      <c r="U47" s="178"/>
      <c r="V47" s="186"/>
      <c r="W47" s="186"/>
      <c r="X47" s="181"/>
      <c r="Y47" s="187"/>
    </row>
    <row r="48" spans="1:25" x14ac:dyDescent="0.25">
      <c r="A48" s="597">
        <f t="shared" si="2"/>
        <v>40</v>
      </c>
      <c r="B48" s="590">
        <f t="shared" si="0"/>
        <v>22141</v>
      </c>
      <c r="C48" s="590" t="str">
        <f t="shared" si="3"/>
        <v>/</v>
      </c>
      <c r="D48" s="601">
        <f t="shared" si="1"/>
        <v>23149</v>
      </c>
      <c r="E48" s="597"/>
      <c r="F48" s="590"/>
      <c r="G48" s="591"/>
      <c r="H48" s="605"/>
      <c r="I48" s="597">
        <f>I44+1</f>
        <v>10</v>
      </c>
      <c r="J48" s="590">
        <f>21196+805+14*I48</f>
        <v>22141</v>
      </c>
      <c r="K48" s="591" t="s">
        <v>106</v>
      </c>
      <c r="L48" s="601">
        <f>21196+1813+14*I48</f>
        <v>23149</v>
      </c>
      <c r="M48" s="597"/>
      <c r="N48" s="590"/>
      <c r="O48" s="590"/>
      <c r="P48" s="605"/>
      <c r="Q48" s="178"/>
      <c r="R48" s="186"/>
      <c r="S48" s="186"/>
      <c r="T48" s="181"/>
      <c r="U48" s="178"/>
      <c r="V48" s="186"/>
      <c r="W48" s="186"/>
      <c r="X48" s="181"/>
      <c r="Y48" s="187"/>
    </row>
    <row r="49" spans="1:25" x14ac:dyDescent="0.25">
      <c r="A49" s="597">
        <f t="shared" si="2"/>
        <v>41</v>
      </c>
      <c r="B49" s="590">
        <f t="shared" si="0"/>
        <v>22144.5</v>
      </c>
      <c r="C49" s="590" t="str">
        <f t="shared" si="3"/>
        <v>/</v>
      </c>
      <c r="D49" s="601">
        <f t="shared" si="1"/>
        <v>23152.5</v>
      </c>
      <c r="E49" s="597">
        <f>E47+1</f>
        <v>20</v>
      </c>
      <c r="F49" s="590">
        <f>21196+808.5+7*E49</f>
        <v>22144.5</v>
      </c>
      <c r="G49" s="591" t="s">
        <v>106</v>
      </c>
      <c r="H49" s="601">
        <f>21196+1816.5+7*E49</f>
        <v>23152.5</v>
      </c>
      <c r="I49" s="597"/>
      <c r="J49" s="590"/>
      <c r="K49" s="590"/>
      <c r="L49" s="605"/>
      <c r="M49" s="597"/>
      <c r="N49" s="590"/>
      <c r="O49" s="590"/>
      <c r="P49" s="605"/>
      <c r="Q49" s="178"/>
      <c r="R49" s="186"/>
      <c r="S49" s="186"/>
      <c r="T49" s="181"/>
      <c r="U49" s="178"/>
      <c r="V49" s="186"/>
      <c r="W49" s="186"/>
      <c r="X49" s="181"/>
      <c r="Y49" s="187"/>
    </row>
    <row r="50" spans="1:25" x14ac:dyDescent="0.25">
      <c r="A50" s="192">
        <f t="shared" si="2"/>
        <v>42</v>
      </c>
      <c r="B50" s="190">
        <f t="shared" si="0"/>
        <v>22148</v>
      </c>
      <c r="C50" s="190" t="str">
        <f t="shared" si="3"/>
        <v>/</v>
      </c>
      <c r="D50" s="191">
        <f t="shared" si="1"/>
        <v>23156</v>
      </c>
      <c r="E50" s="192"/>
      <c r="F50" s="190"/>
      <c r="G50" s="193"/>
      <c r="H50" s="194"/>
      <c r="I50" s="192"/>
      <c r="J50" s="190"/>
      <c r="K50" s="190"/>
      <c r="L50" s="194"/>
      <c r="M50" s="192"/>
      <c r="N50" s="190"/>
      <c r="O50" s="190"/>
      <c r="P50" s="194"/>
      <c r="Q50" s="178"/>
      <c r="R50" s="186"/>
      <c r="S50" s="186"/>
      <c r="T50" s="181"/>
      <c r="U50" s="178"/>
      <c r="V50" s="186"/>
      <c r="W50" s="186"/>
      <c r="X50" s="181"/>
      <c r="Y50" s="187"/>
    </row>
    <row r="51" spans="1:25" x14ac:dyDescent="0.25">
      <c r="A51" s="597">
        <f t="shared" si="2"/>
        <v>43</v>
      </c>
      <c r="B51" s="590">
        <f t="shared" si="0"/>
        <v>22151.5</v>
      </c>
      <c r="C51" s="590" t="str">
        <f t="shared" si="3"/>
        <v>/</v>
      </c>
      <c r="D51" s="601">
        <f t="shared" si="1"/>
        <v>23159.5</v>
      </c>
      <c r="E51" s="597">
        <f>E49+1</f>
        <v>21</v>
      </c>
      <c r="F51" s="590">
        <f>21196+808.5+7*E51</f>
        <v>22151.5</v>
      </c>
      <c r="G51" s="591" t="s">
        <v>106</v>
      </c>
      <c r="H51" s="601">
        <f>21196+1816.5+7*E51</f>
        <v>23159.5</v>
      </c>
      <c r="I51" s="597"/>
      <c r="J51" s="590"/>
      <c r="K51" s="591"/>
      <c r="L51" s="605"/>
      <c r="M51" s="597"/>
      <c r="N51" s="590"/>
      <c r="O51" s="590"/>
      <c r="P51" s="605"/>
      <c r="Q51" s="178"/>
      <c r="R51" s="186"/>
      <c r="S51" s="186"/>
      <c r="T51" s="181"/>
      <c r="U51" s="178"/>
      <c r="V51" s="186"/>
      <c r="W51" s="186"/>
      <c r="X51" s="181"/>
      <c r="Y51" s="187"/>
    </row>
    <row r="52" spans="1:25" x14ac:dyDescent="0.25">
      <c r="A52" s="597">
        <f t="shared" si="2"/>
        <v>44</v>
      </c>
      <c r="B52" s="590">
        <f t="shared" si="0"/>
        <v>22155</v>
      </c>
      <c r="C52" s="590" t="str">
        <f t="shared" si="3"/>
        <v>/</v>
      </c>
      <c r="D52" s="601">
        <f t="shared" si="1"/>
        <v>23163</v>
      </c>
      <c r="E52" s="597"/>
      <c r="F52" s="590"/>
      <c r="G52" s="591"/>
      <c r="H52" s="605"/>
      <c r="I52" s="597">
        <f>I48+1</f>
        <v>11</v>
      </c>
      <c r="J52" s="590">
        <f>21196+805+14*I52</f>
        <v>22155</v>
      </c>
      <c r="K52" s="591" t="s">
        <v>106</v>
      </c>
      <c r="L52" s="601">
        <f>21196+1813+14*I52</f>
        <v>23163</v>
      </c>
      <c r="M52" s="597"/>
      <c r="N52" s="590"/>
      <c r="O52" s="590"/>
      <c r="P52" s="605"/>
      <c r="Q52" s="178"/>
      <c r="R52" s="186"/>
      <c r="S52" s="186"/>
      <c r="T52" s="181"/>
      <c r="U52" s="178"/>
      <c r="V52" s="186"/>
      <c r="W52" s="186"/>
      <c r="X52" s="181"/>
      <c r="Y52" s="187"/>
    </row>
    <row r="53" spans="1:25" x14ac:dyDescent="0.25">
      <c r="A53" s="597">
        <f t="shared" si="2"/>
        <v>45</v>
      </c>
      <c r="B53" s="590">
        <f t="shared" si="0"/>
        <v>22158.5</v>
      </c>
      <c r="C53" s="590" t="str">
        <f t="shared" si="3"/>
        <v>/</v>
      </c>
      <c r="D53" s="601">
        <f t="shared" si="1"/>
        <v>23166.5</v>
      </c>
      <c r="E53" s="597">
        <f>E51+1</f>
        <v>22</v>
      </c>
      <c r="F53" s="590">
        <f>21196+808.5+7*E53</f>
        <v>22158.5</v>
      </c>
      <c r="G53" s="591" t="s">
        <v>106</v>
      </c>
      <c r="H53" s="601">
        <f>21196+1816.5+7*E53</f>
        <v>23166.5</v>
      </c>
      <c r="I53" s="597"/>
      <c r="J53" s="590"/>
      <c r="K53" s="590"/>
      <c r="L53" s="605"/>
      <c r="M53" s="597"/>
      <c r="N53" s="590"/>
      <c r="O53" s="590"/>
      <c r="P53" s="605"/>
      <c r="Q53" s="178"/>
      <c r="R53" s="186"/>
      <c r="S53" s="186"/>
      <c r="T53" s="181"/>
      <c r="U53" s="178"/>
      <c r="V53" s="186"/>
      <c r="W53" s="186"/>
      <c r="X53" s="181"/>
      <c r="Y53" s="187"/>
    </row>
    <row r="54" spans="1:25" x14ac:dyDescent="0.25">
      <c r="A54" s="597">
        <f t="shared" si="2"/>
        <v>46</v>
      </c>
      <c r="B54" s="590">
        <f t="shared" si="0"/>
        <v>22162</v>
      </c>
      <c r="C54" s="590" t="str">
        <f t="shared" si="3"/>
        <v>/</v>
      </c>
      <c r="D54" s="601">
        <f t="shared" si="1"/>
        <v>23170</v>
      </c>
      <c r="E54" s="597"/>
      <c r="F54" s="590"/>
      <c r="G54" s="591"/>
      <c r="H54" s="605"/>
      <c r="I54" s="597"/>
      <c r="J54" s="590"/>
      <c r="K54" s="590"/>
      <c r="L54" s="605"/>
      <c r="M54" s="597">
        <v>6</v>
      </c>
      <c r="N54" s="612">
        <v>22162</v>
      </c>
      <c r="O54" s="590" t="s">
        <v>106</v>
      </c>
      <c r="P54" s="613">
        <v>23170</v>
      </c>
      <c r="Q54" s="192"/>
      <c r="R54" s="190"/>
      <c r="S54" s="193"/>
      <c r="T54" s="191"/>
      <c r="U54" s="178"/>
      <c r="V54" s="186"/>
      <c r="W54" s="186"/>
      <c r="X54" s="181"/>
      <c r="Y54" s="187"/>
    </row>
    <row r="55" spans="1:25" x14ac:dyDescent="0.25">
      <c r="A55" s="597">
        <f t="shared" si="2"/>
        <v>47</v>
      </c>
      <c r="B55" s="590">
        <f t="shared" si="0"/>
        <v>22165.5</v>
      </c>
      <c r="C55" s="590" t="str">
        <f t="shared" si="3"/>
        <v>/</v>
      </c>
      <c r="D55" s="601">
        <f t="shared" si="1"/>
        <v>23173.5</v>
      </c>
      <c r="E55" s="597">
        <f>E53+1</f>
        <v>23</v>
      </c>
      <c r="F55" s="590">
        <f>21196+808.5+7*E55</f>
        <v>22165.5</v>
      </c>
      <c r="G55" s="591" t="s">
        <v>106</v>
      </c>
      <c r="H55" s="601">
        <f>21196+1816.5+7*E55</f>
        <v>23173.5</v>
      </c>
      <c r="I55" s="597"/>
      <c r="J55" s="590"/>
      <c r="K55" s="591"/>
      <c r="L55" s="605"/>
      <c r="M55" s="597"/>
      <c r="N55" s="590"/>
      <c r="O55" s="590"/>
      <c r="P55" s="605"/>
      <c r="Q55" s="178"/>
      <c r="R55" s="186"/>
      <c r="S55" s="186"/>
      <c r="T55" s="181"/>
      <c r="U55" s="178"/>
      <c r="V55" s="186"/>
      <c r="W55" s="186"/>
      <c r="X55" s="181"/>
      <c r="Y55" s="187"/>
    </row>
    <row r="56" spans="1:25" x14ac:dyDescent="0.25">
      <c r="A56" s="597">
        <f t="shared" si="2"/>
        <v>48</v>
      </c>
      <c r="B56" s="590">
        <f t="shared" si="0"/>
        <v>22169</v>
      </c>
      <c r="C56" s="590" t="str">
        <f t="shared" si="3"/>
        <v>/</v>
      </c>
      <c r="D56" s="601">
        <f t="shared" si="1"/>
        <v>23177</v>
      </c>
      <c r="E56" s="597"/>
      <c r="F56" s="590"/>
      <c r="G56" s="591"/>
      <c r="H56" s="605"/>
      <c r="I56" s="597">
        <f>I52+1</f>
        <v>12</v>
      </c>
      <c r="J56" s="590">
        <f>21196+805+14*I56</f>
        <v>22169</v>
      </c>
      <c r="K56" s="591" t="s">
        <v>106</v>
      </c>
      <c r="L56" s="601">
        <f>21196+1813+14*I56</f>
        <v>23177</v>
      </c>
      <c r="M56" s="597"/>
      <c r="N56" s="590"/>
      <c r="O56" s="590"/>
      <c r="P56" s="605"/>
      <c r="Q56" s="178"/>
      <c r="R56" s="186"/>
      <c r="S56" s="186"/>
      <c r="T56" s="181"/>
      <c r="U56" s="178"/>
      <c r="V56" s="186"/>
      <c r="W56" s="186"/>
      <c r="X56" s="181"/>
      <c r="Y56" s="187"/>
    </row>
    <row r="57" spans="1:25" x14ac:dyDescent="0.25">
      <c r="A57" s="597">
        <f t="shared" si="2"/>
        <v>49</v>
      </c>
      <c r="B57" s="590">
        <f t="shared" si="0"/>
        <v>22172.5</v>
      </c>
      <c r="C57" s="590" t="str">
        <f t="shared" si="3"/>
        <v>/</v>
      </c>
      <c r="D57" s="601">
        <f t="shared" si="1"/>
        <v>23180.5</v>
      </c>
      <c r="E57" s="597">
        <f>E55+1</f>
        <v>24</v>
      </c>
      <c r="F57" s="590">
        <f>21196+808.5+7*E57</f>
        <v>22172.5</v>
      </c>
      <c r="G57" s="591" t="s">
        <v>106</v>
      </c>
      <c r="H57" s="601">
        <f>21196+1816.5+7*E57</f>
        <v>23180.5</v>
      </c>
      <c r="I57" s="597"/>
      <c r="J57" s="590"/>
      <c r="K57" s="590"/>
      <c r="L57" s="605"/>
      <c r="M57" s="597"/>
      <c r="N57" s="590"/>
      <c r="O57" s="590"/>
      <c r="P57" s="605"/>
      <c r="Q57" s="178"/>
      <c r="R57" s="186"/>
      <c r="S57" s="186"/>
      <c r="T57" s="181"/>
      <c r="U57" s="178"/>
      <c r="V57" s="186"/>
      <c r="W57" s="186"/>
      <c r="X57" s="181"/>
      <c r="Y57" s="187"/>
    </row>
    <row r="58" spans="1:25" x14ac:dyDescent="0.25">
      <c r="A58" s="192">
        <f t="shared" si="2"/>
        <v>50</v>
      </c>
      <c r="B58" s="190">
        <f t="shared" si="0"/>
        <v>22176</v>
      </c>
      <c r="C58" s="190" t="str">
        <f t="shared" si="3"/>
        <v>/</v>
      </c>
      <c r="D58" s="191">
        <f t="shared" si="1"/>
        <v>23184</v>
      </c>
      <c r="E58" s="192"/>
      <c r="F58" s="190"/>
      <c r="G58" s="193"/>
      <c r="H58" s="194"/>
      <c r="I58" s="192"/>
      <c r="J58" s="190"/>
      <c r="K58" s="190"/>
      <c r="L58" s="194"/>
      <c r="M58" s="192"/>
      <c r="N58" s="190"/>
      <c r="O58" s="190"/>
      <c r="P58" s="194"/>
      <c r="Q58" s="178"/>
      <c r="R58" s="186"/>
      <c r="S58" s="186"/>
      <c r="T58" s="181"/>
      <c r="U58" s="178"/>
      <c r="V58" s="186"/>
      <c r="W58" s="186"/>
      <c r="X58" s="181"/>
      <c r="Y58" s="187"/>
    </row>
    <row r="59" spans="1:25" x14ac:dyDescent="0.25">
      <c r="A59" s="597">
        <f t="shared" si="2"/>
        <v>51</v>
      </c>
      <c r="B59" s="590">
        <f t="shared" si="0"/>
        <v>22179.5</v>
      </c>
      <c r="C59" s="590" t="str">
        <f t="shared" si="3"/>
        <v>/</v>
      </c>
      <c r="D59" s="601">
        <f t="shared" si="1"/>
        <v>23187.5</v>
      </c>
      <c r="E59" s="597">
        <f>E57+1</f>
        <v>25</v>
      </c>
      <c r="F59" s="590">
        <f>21196+808.5+7*E59</f>
        <v>22179.5</v>
      </c>
      <c r="G59" s="591" t="s">
        <v>106</v>
      </c>
      <c r="H59" s="601">
        <f>21196+1816.5+7*E59</f>
        <v>23187.5</v>
      </c>
      <c r="I59" s="597"/>
      <c r="J59" s="590"/>
      <c r="K59" s="591"/>
      <c r="L59" s="605"/>
      <c r="M59" s="597"/>
      <c r="N59" s="590"/>
      <c r="O59" s="590"/>
      <c r="P59" s="605"/>
      <c r="Q59" s="178"/>
      <c r="R59" s="186"/>
      <c r="S59" s="186"/>
      <c r="T59" s="181"/>
      <c r="U59" s="178"/>
      <c r="V59" s="186"/>
      <c r="W59" s="186"/>
      <c r="X59" s="181"/>
      <c r="Y59" s="187"/>
    </row>
    <row r="60" spans="1:25" x14ac:dyDescent="0.25">
      <c r="A60" s="597">
        <f t="shared" si="2"/>
        <v>52</v>
      </c>
      <c r="B60" s="590">
        <f t="shared" si="0"/>
        <v>22183</v>
      </c>
      <c r="C60" s="590" t="str">
        <f t="shared" si="3"/>
        <v>/</v>
      </c>
      <c r="D60" s="601">
        <f t="shared" si="1"/>
        <v>23191</v>
      </c>
      <c r="E60" s="597"/>
      <c r="F60" s="590"/>
      <c r="G60" s="591"/>
      <c r="H60" s="605"/>
      <c r="I60" s="597">
        <f>I56+1</f>
        <v>13</v>
      </c>
      <c r="J60" s="590">
        <f>21196+805+14*I60</f>
        <v>22183</v>
      </c>
      <c r="K60" s="591" t="s">
        <v>106</v>
      </c>
      <c r="L60" s="601">
        <f>21196+1813+14*I60</f>
        <v>23191</v>
      </c>
      <c r="M60" s="597"/>
      <c r="N60" s="590"/>
      <c r="O60" s="590"/>
      <c r="P60" s="605"/>
      <c r="Q60" s="178"/>
      <c r="R60" s="186"/>
      <c r="S60" s="186"/>
      <c r="T60" s="181"/>
      <c r="U60" s="178"/>
      <c r="V60" s="186"/>
      <c r="W60" s="186"/>
      <c r="X60" s="181"/>
      <c r="Y60" s="187"/>
    </row>
    <row r="61" spans="1:25" x14ac:dyDescent="0.25">
      <c r="A61" s="597">
        <f t="shared" si="2"/>
        <v>53</v>
      </c>
      <c r="B61" s="590">
        <f t="shared" si="0"/>
        <v>22186.5</v>
      </c>
      <c r="C61" s="590" t="str">
        <f t="shared" si="3"/>
        <v>/</v>
      </c>
      <c r="D61" s="601">
        <f t="shared" si="1"/>
        <v>23194.5</v>
      </c>
      <c r="E61" s="597">
        <f>E59+1</f>
        <v>26</v>
      </c>
      <c r="F61" s="590">
        <f>21196+808.5+7*E61</f>
        <v>22186.5</v>
      </c>
      <c r="G61" s="591" t="s">
        <v>106</v>
      </c>
      <c r="H61" s="601">
        <f>21196+1816.5+7*E61</f>
        <v>23194.5</v>
      </c>
      <c r="I61" s="597"/>
      <c r="J61" s="590"/>
      <c r="K61" s="590"/>
      <c r="L61" s="605"/>
      <c r="M61" s="597"/>
      <c r="N61" s="590"/>
      <c r="O61" s="591"/>
      <c r="P61" s="605"/>
      <c r="Q61" s="178"/>
      <c r="R61" s="186"/>
      <c r="S61" s="186"/>
      <c r="T61" s="181"/>
      <c r="U61" s="178"/>
      <c r="V61" s="186"/>
      <c r="W61" s="186"/>
      <c r="X61" s="181"/>
      <c r="Y61" s="187"/>
    </row>
    <row r="62" spans="1:25" x14ac:dyDescent="0.25">
      <c r="A62" s="597">
        <f t="shared" si="2"/>
        <v>54</v>
      </c>
      <c r="B62" s="590">
        <f t="shared" si="0"/>
        <v>22190</v>
      </c>
      <c r="C62" s="590" t="str">
        <f t="shared" si="3"/>
        <v>/</v>
      </c>
      <c r="D62" s="601">
        <f t="shared" si="1"/>
        <v>23198</v>
      </c>
      <c r="E62" s="597"/>
      <c r="F62" s="590"/>
      <c r="G62" s="591"/>
      <c r="H62" s="605"/>
      <c r="I62" s="597"/>
      <c r="J62" s="590"/>
      <c r="K62" s="590"/>
      <c r="L62" s="605"/>
      <c r="M62" s="597">
        <v>7</v>
      </c>
      <c r="N62" s="590">
        <f>21196+798+28*M62</f>
        <v>22190</v>
      </c>
      <c r="O62" s="591" t="s">
        <v>106</v>
      </c>
      <c r="P62" s="601">
        <f>21196+1806+28*M62</f>
        <v>23198</v>
      </c>
      <c r="Q62" s="597">
        <f>Q46+1</f>
        <v>3</v>
      </c>
      <c r="R62" s="590">
        <f>21196+826+56*Q62</f>
        <v>22190</v>
      </c>
      <c r="S62" s="591" t="s">
        <v>106</v>
      </c>
      <c r="T62" s="601">
        <f>21196+1834+56*Q62</f>
        <v>23198</v>
      </c>
      <c r="U62" s="597">
        <f>U30+1</f>
        <v>2</v>
      </c>
      <c r="V62" s="590">
        <f>21196+770+112*U62</f>
        <v>22190</v>
      </c>
      <c r="W62" s="591" t="s">
        <v>106</v>
      </c>
      <c r="X62" s="601">
        <f>21196+1778+112*U62</f>
        <v>23198</v>
      </c>
      <c r="Y62" s="187"/>
    </row>
    <row r="63" spans="1:25" x14ac:dyDescent="0.25">
      <c r="A63" s="597">
        <f t="shared" si="2"/>
        <v>55</v>
      </c>
      <c r="B63" s="590">
        <f t="shared" si="0"/>
        <v>22193.5</v>
      </c>
      <c r="C63" s="590" t="str">
        <f t="shared" si="3"/>
        <v>/</v>
      </c>
      <c r="D63" s="601">
        <f t="shared" si="1"/>
        <v>23201.5</v>
      </c>
      <c r="E63" s="597">
        <f>E61+1</f>
        <v>27</v>
      </c>
      <c r="F63" s="590">
        <f>21196+808.5+7*E63</f>
        <v>22193.5</v>
      </c>
      <c r="G63" s="591" t="s">
        <v>106</v>
      </c>
      <c r="H63" s="601">
        <f>21196+1816.5+7*E63</f>
        <v>23201.5</v>
      </c>
      <c r="I63" s="597"/>
      <c r="J63" s="590"/>
      <c r="K63" s="591"/>
      <c r="L63" s="605"/>
      <c r="M63" s="597"/>
      <c r="N63" s="590"/>
      <c r="O63" s="591"/>
      <c r="P63" s="601"/>
      <c r="Q63" s="178"/>
      <c r="R63" s="186"/>
      <c r="S63" s="186"/>
      <c r="T63" s="181"/>
      <c r="U63" s="178"/>
      <c r="V63" s="186"/>
      <c r="W63" s="186"/>
      <c r="X63" s="181"/>
      <c r="Y63" s="187"/>
    </row>
    <row r="64" spans="1:25" x14ac:dyDescent="0.25">
      <c r="A64" s="597">
        <f t="shared" si="2"/>
        <v>56</v>
      </c>
      <c r="B64" s="590">
        <f t="shared" si="0"/>
        <v>22197</v>
      </c>
      <c r="C64" s="590" t="str">
        <f t="shared" si="3"/>
        <v>/</v>
      </c>
      <c r="D64" s="601">
        <f t="shared" si="1"/>
        <v>23205</v>
      </c>
      <c r="E64" s="597"/>
      <c r="F64" s="590"/>
      <c r="G64" s="591"/>
      <c r="H64" s="605"/>
      <c r="I64" s="597">
        <f>I60+1</f>
        <v>14</v>
      </c>
      <c r="J64" s="590">
        <f>21196+805+14*I64</f>
        <v>22197</v>
      </c>
      <c r="K64" s="591" t="s">
        <v>106</v>
      </c>
      <c r="L64" s="601">
        <f>21196+1813+14*I64</f>
        <v>23205</v>
      </c>
      <c r="M64" s="597"/>
      <c r="N64" s="590"/>
      <c r="O64" s="590"/>
      <c r="P64" s="605"/>
      <c r="Q64" s="178"/>
      <c r="R64" s="186"/>
      <c r="S64" s="186"/>
      <c r="T64" s="181"/>
      <c r="U64" s="178"/>
      <c r="V64" s="186"/>
      <c r="W64" s="186"/>
      <c r="X64" s="181"/>
      <c r="Y64" s="187"/>
    </row>
    <row r="65" spans="1:25" x14ac:dyDescent="0.25">
      <c r="A65" s="597">
        <f t="shared" si="2"/>
        <v>57</v>
      </c>
      <c r="B65" s="590">
        <f t="shared" si="0"/>
        <v>22200.5</v>
      </c>
      <c r="C65" s="590" t="str">
        <f t="shared" si="3"/>
        <v>/</v>
      </c>
      <c r="D65" s="601">
        <f t="shared" si="1"/>
        <v>23208.5</v>
      </c>
      <c r="E65" s="597">
        <f>E63+1</f>
        <v>28</v>
      </c>
      <c r="F65" s="590">
        <f>21196+808.5+7*E65</f>
        <v>22200.5</v>
      </c>
      <c r="G65" s="591" t="s">
        <v>106</v>
      </c>
      <c r="H65" s="601">
        <f>21196+1816.5+7*E65</f>
        <v>23208.5</v>
      </c>
      <c r="I65" s="597"/>
      <c r="J65" s="590"/>
      <c r="K65" s="590"/>
      <c r="L65" s="605"/>
      <c r="M65" s="597"/>
      <c r="N65" s="590"/>
      <c r="O65" s="590"/>
      <c r="P65" s="605"/>
      <c r="Q65" s="178"/>
      <c r="R65" s="186"/>
      <c r="S65" s="186"/>
      <c r="T65" s="181"/>
      <c r="U65" s="178"/>
      <c r="V65" s="186"/>
      <c r="W65" s="186"/>
      <c r="X65" s="181"/>
      <c r="Y65" s="187"/>
    </row>
    <row r="66" spans="1:25" x14ac:dyDescent="0.25">
      <c r="A66" s="192">
        <f t="shared" si="2"/>
        <v>58</v>
      </c>
      <c r="B66" s="190">
        <f t="shared" si="0"/>
        <v>22204</v>
      </c>
      <c r="C66" s="190" t="str">
        <f t="shared" si="3"/>
        <v>/</v>
      </c>
      <c r="D66" s="191">
        <f t="shared" si="1"/>
        <v>23212</v>
      </c>
      <c r="E66" s="192"/>
      <c r="F66" s="190"/>
      <c r="G66" s="193"/>
      <c r="H66" s="194"/>
      <c r="I66" s="192"/>
      <c r="J66" s="190"/>
      <c r="K66" s="190"/>
      <c r="L66" s="194"/>
      <c r="M66" s="192"/>
      <c r="N66" s="190"/>
      <c r="O66" s="190"/>
      <c r="P66" s="194"/>
      <c r="Q66" s="178"/>
      <c r="R66" s="186"/>
      <c r="S66" s="186"/>
      <c r="T66" s="181"/>
      <c r="U66" s="178"/>
      <c r="V66" s="186"/>
      <c r="W66" s="186"/>
      <c r="X66" s="181"/>
      <c r="Y66" s="187"/>
    </row>
    <row r="67" spans="1:25" x14ac:dyDescent="0.25">
      <c r="A67" s="597">
        <f t="shared" si="2"/>
        <v>59</v>
      </c>
      <c r="B67" s="590">
        <f t="shared" si="0"/>
        <v>22207.5</v>
      </c>
      <c r="C67" s="590" t="str">
        <f t="shared" si="3"/>
        <v>/</v>
      </c>
      <c r="D67" s="601">
        <f t="shared" si="1"/>
        <v>23215.5</v>
      </c>
      <c r="E67" s="597">
        <f>E65+1</f>
        <v>29</v>
      </c>
      <c r="F67" s="590">
        <f>21196+808.5+7*E67</f>
        <v>22207.5</v>
      </c>
      <c r="G67" s="591" t="s">
        <v>106</v>
      </c>
      <c r="H67" s="601">
        <f>21196+1816.5+7*E67</f>
        <v>23215.5</v>
      </c>
      <c r="I67" s="597"/>
      <c r="J67" s="590"/>
      <c r="K67" s="591"/>
      <c r="L67" s="605"/>
      <c r="M67" s="597"/>
      <c r="N67" s="590"/>
      <c r="O67" s="590"/>
      <c r="P67" s="605"/>
      <c r="Q67" s="178"/>
      <c r="R67" s="186"/>
      <c r="S67" s="186"/>
      <c r="T67" s="181"/>
      <c r="U67" s="178"/>
      <c r="V67" s="186"/>
      <c r="W67" s="186"/>
      <c r="X67" s="181"/>
      <c r="Y67" s="187"/>
    </row>
    <row r="68" spans="1:25" x14ac:dyDescent="0.25">
      <c r="A68" s="597">
        <f t="shared" si="2"/>
        <v>60</v>
      </c>
      <c r="B68" s="590">
        <f t="shared" si="0"/>
        <v>22211</v>
      </c>
      <c r="C68" s="590" t="str">
        <f t="shared" si="3"/>
        <v>/</v>
      </c>
      <c r="D68" s="601">
        <f t="shared" si="1"/>
        <v>23219</v>
      </c>
      <c r="E68" s="597"/>
      <c r="F68" s="590"/>
      <c r="G68" s="591"/>
      <c r="H68" s="605"/>
      <c r="I68" s="597">
        <f>I64+1</f>
        <v>15</v>
      </c>
      <c r="J68" s="590">
        <f>21196+805+14*I68</f>
        <v>22211</v>
      </c>
      <c r="K68" s="591" t="s">
        <v>106</v>
      </c>
      <c r="L68" s="601">
        <f>21196+1813+14*I68</f>
        <v>23219</v>
      </c>
      <c r="M68" s="597"/>
      <c r="N68" s="590"/>
      <c r="O68" s="590"/>
      <c r="P68" s="605"/>
      <c r="Q68" s="178"/>
      <c r="R68" s="186"/>
      <c r="S68" s="186"/>
      <c r="T68" s="181"/>
      <c r="U68" s="178"/>
      <c r="V68" s="186"/>
      <c r="W68" s="186"/>
      <c r="X68" s="181"/>
      <c r="Y68" s="187"/>
    </row>
    <row r="69" spans="1:25" x14ac:dyDescent="0.25">
      <c r="A69" s="597">
        <f t="shared" si="2"/>
        <v>61</v>
      </c>
      <c r="B69" s="590">
        <f t="shared" si="0"/>
        <v>22214.5</v>
      </c>
      <c r="C69" s="590" t="str">
        <f t="shared" si="3"/>
        <v>/</v>
      </c>
      <c r="D69" s="601">
        <f t="shared" si="1"/>
        <v>23222.5</v>
      </c>
      <c r="E69" s="597">
        <f>E67+1</f>
        <v>30</v>
      </c>
      <c r="F69" s="590">
        <f>21196+808.5+7*E69</f>
        <v>22214.5</v>
      </c>
      <c r="G69" s="591" t="s">
        <v>106</v>
      </c>
      <c r="H69" s="601">
        <f>21196+1816.5+7*E69</f>
        <v>23222.5</v>
      </c>
      <c r="I69" s="597"/>
      <c r="J69" s="590"/>
      <c r="K69" s="590"/>
      <c r="L69" s="605"/>
      <c r="M69" s="597"/>
      <c r="N69" s="590"/>
      <c r="O69" s="591"/>
      <c r="P69" s="605"/>
      <c r="Q69" s="178"/>
      <c r="R69" s="186"/>
      <c r="S69" s="186"/>
      <c r="T69" s="181"/>
      <c r="U69" s="178"/>
      <c r="V69" s="186"/>
      <c r="W69" s="186"/>
      <c r="X69" s="181"/>
      <c r="Y69" s="187"/>
    </row>
    <row r="70" spans="1:25" x14ac:dyDescent="0.25">
      <c r="A70" s="597">
        <f t="shared" si="2"/>
        <v>62</v>
      </c>
      <c r="B70" s="590">
        <f t="shared" si="0"/>
        <v>22218</v>
      </c>
      <c r="C70" s="590" t="str">
        <f t="shared" si="3"/>
        <v>/</v>
      </c>
      <c r="D70" s="601">
        <f t="shared" si="1"/>
        <v>23226</v>
      </c>
      <c r="E70" s="597"/>
      <c r="F70" s="590"/>
      <c r="G70" s="591"/>
      <c r="H70" s="605"/>
      <c r="I70" s="597"/>
      <c r="J70" s="590"/>
      <c r="K70" s="590"/>
      <c r="L70" s="605"/>
      <c r="M70" s="597">
        <f>M62+1</f>
        <v>8</v>
      </c>
      <c r="N70" s="590">
        <f>21196+798+28*M70</f>
        <v>22218</v>
      </c>
      <c r="O70" s="591" t="s">
        <v>106</v>
      </c>
      <c r="P70" s="601">
        <f>21196+1806+28*M70</f>
        <v>23226</v>
      </c>
      <c r="Q70" s="192"/>
      <c r="R70" s="197"/>
      <c r="S70" s="197"/>
      <c r="T70" s="194"/>
      <c r="U70" s="178"/>
      <c r="V70" s="186"/>
      <c r="W70" s="186"/>
      <c r="X70" s="181"/>
      <c r="Y70" s="187"/>
    </row>
    <row r="71" spans="1:25" x14ac:dyDescent="0.25">
      <c r="A71" s="597">
        <f t="shared" si="2"/>
        <v>63</v>
      </c>
      <c r="B71" s="590">
        <f t="shared" si="0"/>
        <v>22221.5</v>
      </c>
      <c r="C71" s="590" t="str">
        <f t="shared" si="3"/>
        <v>/</v>
      </c>
      <c r="D71" s="601">
        <f t="shared" si="1"/>
        <v>23229.5</v>
      </c>
      <c r="E71" s="597">
        <f>E69+1</f>
        <v>31</v>
      </c>
      <c r="F71" s="590">
        <f>21196+808.5+7*E71</f>
        <v>22221.5</v>
      </c>
      <c r="G71" s="591" t="s">
        <v>106</v>
      </c>
      <c r="H71" s="601">
        <f>21196+1816.5+7*E71</f>
        <v>23229.5</v>
      </c>
      <c r="I71" s="597"/>
      <c r="J71" s="590"/>
      <c r="K71" s="591"/>
      <c r="L71" s="605"/>
      <c r="M71" s="597"/>
      <c r="N71" s="590"/>
      <c r="O71" s="590"/>
      <c r="P71" s="605"/>
      <c r="Q71" s="178"/>
      <c r="R71" s="186"/>
      <c r="S71" s="186"/>
      <c r="T71" s="181"/>
      <c r="U71" s="178"/>
      <c r="V71" s="186"/>
      <c r="W71" s="186"/>
      <c r="X71" s="181"/>
      <c r="Y71" s="187"/>
    </row>
    <row r="72" spans="1:25" x14ac:dyDescent="0.25">
      <c r="A72" s="597">
        <f t="shared" si="2"/>
        <v>64</v>
      </c>
      <c r="B72" s="590">
        <f t="shared" si="0"/>
        <v>22225</v>
      </c>
      <c r="C72" s="590" t="str">
        <f t="shared" si="3"/>
        <v>/</v>
      </c>
      <c r="D72" s="601">
        <f t="shared" si="1"/>
        <v>23233</v>
      </c>
      <c r="E72" s="597"/>
      <c r="F72" s="590"/>
      <c r="G72" s="591"/>
      <c r="H72" s="605"/>
      <c r="I72" s="597">
        <f>I68+1</f>
        <v>16</v>
      </c>
      <c r="J72" s="590">
        <f>21196+805+14*I72</f>
        <v>22225</v>
      </c>
      <c r="K72" s="591" t="s">
        <v>106</v>
      </c>
      <c r="L72" s="601">
        <f>21196+1813+14*I72</f>
        <v>23233</v>
      </c>
      <c r="M72" s="597"/>
      <c r="N72" s="590"/>
      <c r="O72" s="590"/>
      <c r="P72" s="605"/>
      <c r="Q72" s="178"/>
      <c r="R72" s="186"/>
      <c r="S72" s="186"/>
      <c r="T72" s="181"/>
      <c r="U72" s="178"/>
      <c r="V72" s="186"/>
      <c r="W72" s="186"/>
      <c r="X72" s="181"/>
      <c r="Y72" s="187"/>
    </row>
    <row r="73" spans="1:25" x14ac:dyDescent="0.25">
      <c r="A73" s="597">
        <f t="shared" si="2"/>
        <v>65</v>
      </c>
      <c r="B73" s="590">
        <f t="shared" ref="B73:B136" si="4">21196+805+3.5*A73</f>
        <v>22228.5</v>
      </c>
      <c r="C73" s="590" t="str">
        <f t="shared" si="3"/>
        <v>/</v>
      </c>
      <c r="D73" s="601">
        <f t="shared" si="1"/>
        <v>23236.5</v>
      </c>
      <c r="E73" s="597">
        <f>E71+1</f>
        <v>32</v>
      </c>
      <c r="F73" s="590">
        <f>21196+808.5+7*E73</f>
        <v>22228.5</v>
      </c>
      <c r="G73" s="591" t="s">
        <v>106</v>
      </c>
      <c r="H73" s="601">
        <f>21196+1816.5+7*E73</f>
        <v>23236.5</v>
      </c>
      <c r="I73" s="597"/>
      <c r="J73" s="590"/>
      <c r="K73" s="590"/>
      <c r="L73" s="605"/>
      <c r="M73" s="597"/>
      <c r="N73" s="590"/>
      <c r="O73" s="590"/>
      <c r="P73" s="605"/>
      <c r="Q73" s="178"/>
      <c r="R73" s="186"/>
      <c r="S73" s="186"/>
      <c r="T73" s="181"/>
      <c r="U73" s="178"/>
      <c r="V73" s="186"/>
      <c r="W73" s="186"/>
      <c r="X73" s="181"/>
      <c r="Y73" s="187"/>
    </row>
    <row r="74" spans="1:25" x14ac:dyDescent="0.25">
      <c r="A74" s="192">
        <f t="shared" si="2"/>
        <v>66</v>
      </c>
      <c r="B74" s="190">
        <f t="shared" si="4"/>
        <v>22232</v>
      </c>
      <c r="C74" s="190" t="str">
        <f t="shared" si="3"/>
        <v>/</v>
      </c>
      <c r="D74" s="191">
        <f t="shared" ref="D74:D137" si="5">21196+1813+3.5*A74</f>
        <v>23240</v>
      </c>
      <c r="E74" s="192"/>
      <c r="F74" s="190"/>
      <c r="G74" s="193"/>
      <c r="H74" s="194"/>
      <c r="I74" s="192"/>
      <c r="J74" s="190"/>
      <c r="K74" s="190"/>
      <c r="L74" s="194"/>
      <c r="M74" s="192"/>
      <c r="N74" s="190"/>
      <c r="O74" s="190"/>
      <c r="P74" s="194"/>
      <c r="Q74" s="178"/>
      <c r="R74" s="186"/>
      <c r="S74" s="186"/>
      <c r="T74" s="181"/>
      <c r="U74" s="178"/>
      <c r="V74" s="186"/>
      <c r="W74" s="186"/>
      <c r="X74" s="181"/>
      <c r="Y74" s="187"/>
    </row>
    <row r="75" spans="1:25" x14ac:dyDescent="0.25">
      <c r="A75" s="597">
        <f>A74+1</f>
        <v>67</v>
      </c>
      <c r="B75" s="590">
        <f t="shared" si="4"/>
        <v>22235.5</v>
      </c>
      <c r="C75" s="590" t="str">
        <f t="shared" ref="C75:C138" si="6">C74</f>
        <v>/</v>
      </c>
      <c r="D75" s="601">
        <f t="shared" si="5"/>
        <v>23243.5</v>
      </c>
      <c r="E75" s="597">
        <f>E73+1</f>
        <v>33</v>
      </c>
      <c r="F75" s="590">
        <f>21196+808.5+7*E75</f>
        <v>22235.5</v>
      </c>
      <c r="G75" s="591" t="s">
        <v>106</v>
      </c>
      <c r="H75" s="601">
        <f>21196+1816.5+7*E75</f>
        <v>23243.5</v>
      </c>
      <c r="I75" s="597"/>
      <c r="J75" s="590"/>
      <c r="K75" s="591"/>
      <c r="L75" s="605"/>
      <c r="M75" s="597"/>
      <c r="N75" s="590"/>
      <c r="O75" s="590"/>
      <c r="P75" s="605"/>
      <c r="Q75" s="178"/>
      <c r="R75" s="186"/>
      <c r="S75" s="186"/>
      <c r="T75" s="181"/>
      <c r="U75" s="178"/>
      <c r="V75" s="186"/>
      <c r="W75" s="186"/>
      <c r="X75" s="181"/>
      <c r="Y75" s="187"/>
    </row>
    <row r="76" spans="1:25" x14ac:dyDescent="0.25">
      <c r="A76" s="597">
        <f>A75+1</f>
        <v>68</v>
      </c>
      <c r="B76" s="590">
        <f t="shared" si="4"/>
        <v>22239</v>
      </c>
      <c r="C76" s="590" t="str">
        <f t="shared" si="6"/>
        <v>/</v>
      </c>
      <c r="D76" s="601">
        <f t="shared" si="5"/>
        <v>23247</v>
      </c>
      <c r="E76" s="597"/>
      <c r="F76" s="590"/>
      <c r="G76" s="591"/>
      <c r="H76" s="605"/>
      <c r="I76" s="597">
        <f>I72+1</f>
        <v>17</v>
      </c>
      <c r="J76" s="590">
        <f>21196+805+14*I76</f>
        <v>22239</v>
      </c>
      <c r="K76" s="591" t="s">
        <v>106</v>
      </c>
      <c r="L76" s="601">
        <f>21196+1813+14*I76</f>
        <v>23247</v>
      </c>
      <c r="M76" s="597"/>
      <c r="N76" s="590"/>
      <c r="O76" s="590"/>
      <c r="P76" s="605"/>
      <c r="Q76" s="178"/>
      <c r="R76" s="186"/>
      <c r="S76" s="186"/>
      <c r="T76" s="181"/>
      <c r="U76" s="178"/>
      <c r="V76" s="186"/>
      <c r="W76" s="186"/>
      <c r="X76" s="181"/>
      <c r="Y76" s="187"/>
    </row>
    <row r="77" spans="1:25" x14ac:dyDescent="0.25">
      <c r="A77" s="597">
        <f>A76+1</f>
        <v>69</v>
      </c>
      <c r="B77" s="590">
        <f t="shared" si="4"/>
        <v>22242.5</v>
      </c>
      <c r="C77" s="590" t="str">
        <f t="shared" si="6"/>
        <v>/</v>
      </c>
      <c r="D77" s="601">
        <f t="shared" si="5"/>
        <v>23250.5</v>
      </c>
      <c r="E77" s="597">
        <f>E75+1</f>
        <v>34</v>
      </c>
      <c r="F77" s="590">
        <f>21196+808.5+7*E77</f>
        <v>22242.5</v>
      </c>
      <c r="G77" s="591" t="s">
        <v>106</v>
      </c>
      <c r="H77" s="601">
        <f>21196+1816.5+7*E77</f>
        <v>23250.5</v>
      </c>
      <c r="I77" s="597"/>
      <c r="J77" s="590"/>
      <c r="K77" s="590"/>
      <c r="L77" s="605"/>
      <c r="M77" s="597"/>
      <c r="N77" s="590"/>
      <c r="O77" s="591"/>
      <c r="P77" s="605"/>
      <c r="Q77" s="178"/>
      <c r="R77" s="186"/>
      <c r="S77" s="186"/>
      <c r="T77" s="181"/>
      <c r="U77" s="178"/>
      <c r="V77" s="186"/>
      <c r="W77" s="186"/>
      <c r="X77" s="181"/>
      <c r="Y77" s="599"/>
    </row>
    <row r="78" spans="1:25" x14ac:dyDescent="0.25">
      <c r="A78" s="597">
        <f>A77+1</f>
        <v>70</v>
      </c>
      <c r="B78" s="590">
        <f t="shared" si="4"/>
        <v>22246</v>
      </c>
      <c r="C78" s="590" t="str">
        <f t="shared" si="6"/>
        <v>/</v>
      </c>
      <c r="D78" s="601">
        <f t="shared" si="5"/>
        <v>23254</v>
      </c>
      <c r="E78" s="597"/>
      <c r="F78" s="590"/>
      <c r="G78" s="591"/>
      <c r="H78" s="605"/>
      <c r="I78" s="597"/>
      <c r="J78" s="590"/>
      <c r="K78" s="590"/>
      <c r="L78" s="605"/>
      <c r="M78" s="597">
        <f>M70+1</f>
        <v>9</v>
      </c>
      <c r="N78" s="590">
        <f>21196+798+28*M78</f>
        <v>22246</v>
      </c>
      <c r="O78" s="591" t="s">
        <v>106</v>
      </c>
      <c r="P78" s="601">
        <f>21196+1806+28*M78</f>
        <v>23254</v>
      </c>
      <c r="Q78" s="597">
        <f>Q62+1</f>
        <v>4</v>
      </c>
      <c r="R78" s="590">
        <f>21196+826+56*Q78</f>
        <v>22246</v>
      </c>
      <c r="S78" s="591" t="s">
        <v>106</v>
      </c>
      <c r="T78" s="601">
        <f>21196+1834+56*Q78</f>
        <v>23254</v>
      </c>
      <c r="U78" s="192"/>
      <c r="V78" s="197"/>
      <c r="W78" s="197"/>
      <c r="X78" s="194"/>
      <c r="Y78" s="614" t="s">
        <v>190</v>
      </c>
    </row>
    <row r="79" spans="1:25" x14ac:dyDescent="0.25">
      <c r="A79" s="597">
        <f t="shared" ref="A79:A142" si="7">A78+1</f>
        <v>71</v>
      </c>
      <c r="B79" s="590">
        <f t="shared" si="4"/>
        <v>22249.5</v>
      </c>
      <c r="C79" s="590" t="str">
        <f t="shared" si="6"/>
        <v>/</v>
      </c>
      <c r="D79" s="601">
        <f t="shared" si="5"/>
        <v>23257.5</v>
      </c>
      <c r="E79" s="597">
        <f>E77+1</f>
        <v>35</v>
      </c>
      <c r="F79" s="590">
        <f>21196+808.5+7*E79</f>
        <v>22249.5</v>
      </c>
      <c r="G79" s="591" t="s">
        <v>106</v>
      </c>
      <c r="H79" s="601">
        <f>21196+1816.5+7*E79</f>
        <v>23257.5</v>
      </c>
      <c r="I79" s="597"/>
      <c r="J79" s="590"/>
      <c r="K79" s="591"/>
      <c r="L79" s="605"/>
      <c r="M79" s="597"/>
      <c r="N79" s="590"/>
      <c r="O79" s="590"/>
      <c r="P79" s="605"/>
      <c r="Q79" s="178"/>
      <c r="R79" s="186"/>
      <c r="S79" s="186"/>
      <c r="T79" s="181"/>
      <c r="U79" s="178"/>
      <c r="V79" s="186"/>
      <c r="W79" s="186"/>
      <c r="X79" s="181"/>
      <c r="Y79" s="598"/>
    </row>
    <row r="80" spans="1:25" x14ac:dyDescent="0.25">
      <c r="A80" s="597">
        <f t="shared" si="7"/>
        <v>72</v>
      </c>
      <c r="B80" s="590">
        <f t="shared" si="4"/>
        <v>22253</v>
      </c>
      <c r="C80" s="590" t="str">
        <f t="shared" si="6"/>
        <v>/</v>
      </c>
      <c r="D80" s="601">
        <f t="shared" si="5"/>
        <v>23261</v>
      </c>
      <c r="E80" s="597"/>
      <c r="F80" s="590"/>
      <c r="G80" s="591"/>
      <c r="H80" s="605"/>
      <c r="I80" s="597">
        <f>I76+1</f>
        <v>18</v>
      </c>
      <c r="J80" s="590">
        <f>21196+805+14*I80</f>
        <v>22253</v>
      </c>
      <c r="K80" s="591" t="s">
        <v>106</v>
      </c>
      <c r="L80" s="601">
        <f>21196+1813+14*I80</f>
        <v>23261</v>
      </c>
      <c r="M80" s="597"/>
      <c r="N80" s="590"/>
      <c r="O80" s="590"/>
      <c r="P80" s="605"/>
      <c r="Q80" s="178"/>
      <c r="R80" s="186"/>
      <c r="S80" s="186"/>
      <c r="T80" s="181"/>
      <c r="U80" s="178"/>
      <c r="V80" s="186"/>
      <c r="W80" s="186"/>
      <c r="X80" s="181"/>
      <c r="Y80" s="187"/>
    </row>
    <row r="81" spans="1:27" x14ac:dyDescent="0.25">
      <c r="A81" s="597">
        <f t="shared" si="7"/>
        <v>73</v>
      </c>
      <c r="B81" s="590">
        <f t="shared" si="4"/>
        <v>22256.5</v>
      </c>
      <c r="C81" s="590" t="str">
        <f t="shared" si="6"/>
        <v>/</v>
      </c>
      <c r="D81" s="601">
        <f t="shared" si="5"/>
        <v>23264.5</v>
      </c>
      <c r="E81" s="597">
        <f>E79+1</f>
        <v>36</v>
      </c>
      <c r="F81" s="590">
        <f>21196+808.5+7*E81</f>
        <v>22256.5</v>
      </c>
      <c r="G81" s="591" t="s">
        <v>106</v>
      </c>
      <c r="H81" s="601">
        <f>21196+1816.5+7*E81</f>
        <v>23264.5</v>
      </c>
      <c r="I81" s="597"/>
      <c r="J81" s="590"/>
      <c r="K81" s="590"/>
      <c r="L81" s="605"/>
      <c r="M81" s="597"/>
      <c r="N81" s="590"/>
      <c r="O81" s="590"/>
      <c r="P81" s="605"/>
      <c r="Q81" s="178"/>
      <c r="R81" s="186"/>
      <c r="S81" s="186"/>
      <c r="T81" s="181"/>
      <c r="U81" s="178"/>
      <c r="V81" s="186"/>
      <c r="W81" s="186"/>
      <c r="X81" s="181"/>
      <c r="Y81" s="187"/>
    </row>
    <row r="82" spans="1:27" x14ac:dyDescent="0.25">
      <c r="A82" s="192">
        <f t="shared" si="7"/>
        <v>74</v>
      </c>
      <c r="B82" s="190">
        <f t="shared" si="4"/>
        <v>22260</v>
      </c>
      <c r="C82" s="190" t="str">
        <f t="shared" si="6"/>
        <v>/</v>
      </c>
      <c r="D82" s="191">
        <f t="shared" si="5"/>
        <v>23268</v>
      </c>
      <c r="E82" s="192"/>
      <c r="F82" s="190"/>
      <c r="G82" s="193"/>
      <c r="H82" s="194"/>
      <c r="I82" s="192"/>
      <c r="J82" s="190"/>
      <c r="K82" s="190"/>
      <c r="L82" s="194"/>
      <c r="M82" s="192"/>
      <c r="N82" s="190"/>
      <c r="O82" s="190"/>
      <c r="P82" s="194"/>
      <c r="Q82" s="178"/>
      <c r="R82" s="186"/>
      <c r="S82" s="186"/>
      <c r="T82" s="181"/>
      <c r="U82" s="178"/>
      <c r="V82" s="186"/>
      <c r="W82" s="186"/>
      <c r="X82" s="181"/>
      <c r="Y82" s="187"/>
    </row>
    <row r="83" spans="1:27" x14ac:dyDescent="0.25">
      <c r="A83" s="597">
        <f t="shared" si="7"/>
        <v>75</v>
      </c>
      <c r="B83" s="590">
        <f t="shared" si="4"/>
        <v>22263.5</v>
      </c>
      <c r="C83" s="590" t="str">
        <f t="shared" si="6"/>
        <v>/</v>
      </c>
      <c r="D83" s="601">
        <f t="shared" si="5"/>
        <v>23271.5</v>
      </c>
      <c r="E83" s="597">
        <f>E81+1</f>
        <v>37</v>
      </c>
      <c r="F83" s="590">
        <f>21196+808.5+7*E83</f>
        <v>22263.5</v>
      </c>
      <c r="G83" s="591" t="s">
        <v>106</v>
      </c>
      <c r="H83" s="601">
        <f>21196+1816.5+7*E83</f>
        <v>23271.5</v>
      </c>
      <c r="I83" s="597"/>
      <c r="J83" s="590"/>
      <c r="K83" s="590"/>
      <c r="L83" s="605"/>
      <c r="M83" s="597"/>
      <c r="N83" s="590"/>
      <c r="O83" s="590"/>
      <c r="P83" s="605"/>
      <c r="Q83" s="178"/>
      <c r="R83" s="186"/>
      <c r="S83" s="186"/>
      <c r="T83" s="181"/>
      <c r="U83" s="178"/>
      <c r="V83" s="186"/>
      <c r="W83" s="186"/>
      <c r="X83" s="181"/>
      <c r="Y83" s="187"/>
    </row>
    <row r="84" spans="1:27" x14ac:dyDescent="0.25">
      <c r="A84" s="597">
        <f t="shared" si="7"/>
        <v>76</v>
      </c>
      <c r="B84" s="590">
        <f t="shared" si="4"/>
        <v>22267</v>
      </c>
      <c r="C84" s="590" t="str">
        <f t="shared" si="6"/>
        <v>/</v>
      </c>
      <c r="D84" s="601">
        <f t="shared" si="5"/>
        <v>23275</v>
      </c>
      <c r="E84" s="597"/>
      <c r="F84" s="590"/>
      <c r="G84" s="591"/>
      <c r="H84" s="605"/>
      <c r="I84" s="597">
        <f>I80+1</f>
        <v>19</v>
      </c>
      <c r="J84" s="590">
        <f>21196+805+14*I84</f>
        <v>22267</v>
      </c>
      <c r="K84" s="591" t="s">
        <v>106</v>
      </c>
      <c r="L84" s="601">
        <f>21196+1813+14*I84</f>
        <v>23275</v>
      </c>
      <c r="M84" s="597"/>
      <c r="N84" s="590"/>
      <c r="O84" s="590"/>
      <c r="P84" s="605"/>
      <c r="Q84" s="178"/>
      <c r="R84" s="186"/>
      <c r="S84" s="186"/>
      <c r="T84" s="181"/>
      <c r="U84" s="178"/>
      <c r="V84" s="186"/>
      <c r="W84" s="186"/>
      <c r="X84" s="181"/>
      <c r="Y84" s="187"/>
    </row>
    <row r="85" spans="1:27" x14ac:dyDescent="0.25">
      <c r="A85" s="597">
        <f t="shared" si="7"/>
        <v>77</v>
      </c>
      <c r="B85" s="590">
        <f t="shared" si="4"/>
        <v>22270.5</v>
      </c>
      <c r="C85" s="590" t="str">
        <f t="shared" si="6"/>
        <v>/</v>
      </c>
      <c r="D85" s="601">
        <f t="shared" si="5"/>
        <v>23278.5</v>
      </c>
      <c r="E85" s="597">
        <f>E83+1</f>
        <v>38</v>
      </c>
      <c r="F85" s="590">
        <f>21196+808.5+7*E85</f>
        <v>22270.5</v>
      </c>
      <c r="G85" s="591" t="s">
        <v>106</v>
      </c>
      <c r="H85" s="601">
        <f>21196+1816.5+7*E85</f>
        <v>23278.5</v>
      </c>
      <c r="I85" s="597"/>
      <c r="J85" s="590"/>
      <c r="K85" s="590"/>
      <c r="L85" s="605"/>
      <c r="M85" s="597"/>
      <c r="N85" s="590"/>
      <c r="O85" s="591"/>
      <c r="P85" s="605"/>
      <c r="Q85" s="178"/>
      <c r="R85" s="186"/>
      <c r="S85" s="186"/>
      <c r="T85" s="181"/>
      <c r="U85" s="178"/>
      <c r="V85" s="186"/>
      <c r="W85" s="186"/>
      <c r="X85" s="181"/>
      <c r="Y85" s="187"/>
    </row>
    <row r="86" spans="1:27" x14ac:dyDescent="0.25">
      <c r="A86" s="597">
        <f t="shared" si="7"/>
        <v>78</v>
      </c>
      <c r="B86" s="590">
        <f t="shared" si="4"/>
        <v>22274</v>
      </c>
      <c r="C86" s="590" t="str">
        <f t="shared" si="6"/>
        <v>/</v>
      </c>
      <c r="D86" s="601">
        <f t="shared" si="5"/>
        <v>23282</v>
      </c>
      <c r="E86" s="597"/>
      <c r="F86" s="590"/>
      <c r="G86" s="591"/>
      <c r="H86" s="605"/>
      <c r="I86" s="597"/>
      <c r="J86" s="590"/>
      <c r="K86" s="590"/>
      <c r="L86" s="605"/>
      <c r="M86" s="597">
        <f>M78+1</f>
        <v>10</v>
      </c>
      <c r="N86" s="590">
        <f>21196+798+28*M86</f>
        <v>22274</v>
      </c>
      <c r="O86" s="591" t="s">
        <v>106</v>
      </c>
      <c r="P86" s="601">
        <f>21196+1806+28*M86</f>
        <v>23282</v>
      </c>
      <c r="Q86" s="192"/>
      <c r="R86" s="197"/>
      <c r="S86" s="197"/>
      <c r="T86" s="194"/>
      <c r="U86" s="178"/>
      <c r="V86" s="186"/>
      <c r="W86" s="186"/>
      <c r="X86" s="181"/>
      <c r="Y86" s="187"/>
      <c r="AA86" t="s">
        <v>191</v>
      </c>
    </row>
    <row r="87" spans="1:27" x14ac:dyDescent="0.25">
      <c r="A87" s="597">
        <f t="shared" si="7"/>
        <v>79</v>
      </c>
      <c r="B87" s="590">
        <f t="shared" si="4"/>
        <v>22277.5</v>
      </c>
      <c r="C87" s="590" t="str">
        <f t="shared" si="6"/>
        <v>/</v>
      </c>
      <c r="D87" s="601">
        <f t="shared" si="5"/>
        <v>23285.5</v>
      </c>
      <c r="E87" s="597">
        <f>E85+1</f>
        <v>39</v>
      </c>
      <c r="F87" s="590">
        <f>21196+808.5+7*E87</f>
        <v>22277.5</v>
      </c>
      <c r="G87" s="591" t="s">
        <v>106</v>
      </c>
      <c r="H87" s="601">
        <f>21196+1816.5+7*E87</f>
        <v>23285.5</v>
      </c>
      <c r="I87" s="597"/>
      <c r="J87" s="590"/>
      <c r="K87" s="590"/>
      <c r="L87" s="605"/>
      <c r="M87" s="597"/>
      <c r="N87" s="590"/>
      <c r="O87" s="590"/>
      <c r="P87" s="605"/>
      <c r="Q87" s="178"/>
      <c r="R87" s="186"/>
      <c r="S87" s="186"/>
      <c r="T87" s="181"/>
      <c r="U87" s="178"/>
      <c r="V87" s="186"/>
      <c r="W87" s="186"/>
      <c r="X87" s="181"/>
      <c r="Y87" s="187"/>
    </row>
    <row r="88" spans="1:27" x14ac:dyDescent="0.25">
      <c r="A88" s="597">
        <f t="shared" si="7"/>
        <v>80</v>
      </c>
      <c r="B88" s="590">
        <f t="shared" si="4"/>
        <v>22281</v>
      </c>
      <c r="C88" s="590" t="str">
        <f t="shared" si="6"/>
        <v>/</v>
      </c>
      <c r="D88" s="601">
        <f t="shared" si="5"/>
        <v>23289</v>
      </c>
      <c r="E88" s="597"/>
      <c r="F88" s="590"/>
      <c r="G88" s="591"/>
      <c r="H88" s="605"/>
      <c r="I88" s="597">
        <f>I84+1</f>
        <v>20</v>
      </c>
      <c r="J88" s="590">
        <f>21196+805+14*I88</f>
        <v>22281</v>
      </c>
      <c r="K88" s="591" t="s">
        <v>106</v>
      </c>
      <c r="L88" s="601">
        <f>21196+1813+14*I88</f>
        <v>23289</v>
      </c>
      <c r="M88" s="597"/>
      <c r="N88" s="590"/>
      <c r="O88" s="590"/>
      <c r="P88" s="605"/>
      <c r="Q88" s="178"/>
      <c r="R88" s="186"/>
      <c r="S88" s="186"/>
      <c r="T88" s="181"/>
      <c r="U88" s="178"/>
      <c r="V88" s="186"/>
      <c r="W88" s="186"/>
      <c r="X88" s="181"/>
      <c r="Y88" s="187"/>
    </row>
    <row r="89" spans="1:27" x14ac:dyDescent="0.25">
      <c r="A89" s="597">
        <f t="shared" si="7"/>
        <v>81</v>
      </c>
      <c r="B89" s="590">
        <f t="shared" si="4"/>
        <v>22284.5</v>
      </c>
      <c r="C89" s="590" t="str">
        <f t="shared" si="6"/>
        <v>/</v>
      </c>
      <c r="D89" s="601">
        <f t="shared" si="5"/>
        <v>23292.5</v>
      </c>
      <c r="E89" s="597">
        <f>E87+1</f>
        <v>40</v>
      </c>
      <c r="F89" s="590">
        <f>21196+808.5+7*E89</f>
        <v>22284.5</v>
      </c>
      <c r="G89" s="591" t="s">
        <v>106</v>
      </c>
      <c r="H89" s="601">
        <f>21196+1816.5+7*E89</f>
        <v>23292.5</v>
      </c>
      <c r="I89" s="597"/>
      <c r="J89" s="590"/>
      <c r="K89" s="590"/>
      <c r="L89" s="605"/>
      <c r="M89" s="597"/>
      <c r="N89" s="590"/>
      <c r="O89" s="590"/>
      <c r="P89" s="605"/>
      <c r="Q89" s="178"/>
      <c r="R89" s="186"/>
      <c r="S89" s="186"/>
      <c r="T89" s="181"/>
      <c r="U89" s="178"/>
      <c r="V89" s="186"/>
      <c r="W89" s="186"/>
      <c r="X89" s="181"/>
      <c r="Y89" s="187"/>
    </row>
    <row r="90" spans="1:27" x14ac:dyDescent="0.25">
      <c r="A90" s="192">
        <f t="shared" si="7"/>
        <v>82</v>
      </c>
      <c r="B90" s="190">
        <f t="shared" si="4"/>
        <v>22288</v>
      </c>
      <c r="C90" s="190" t="str">
        <f t="shared" si="6"/>
        <v>/</v>
      </c>
      <c r="D90" s="191">
        <f t="shared" si="5"/>
        <v>23296</v>
      </c>
      <c r="E90" s="192"/>
      <c r="F90" s="190"/>
      <c r="G90" s="193"/>
      <c r="H90" s="194"/>
      <c r="I90" s="192"/>
      <c r="J90" s="190"/>
      <c r="K90" s="190"/>
      <c r="L90" s="194"/>
      <c r="M90" s="192"/>
      <c r="N90" s="190"/>
      <c r="O90" s="190"/>
      <c r="P90" s="194"/>
      <c r="Q90" s="178"/>
      <c r="R90" s="186"/>
      <c r="S90" s="186"/>
      <c r="T90" s="181"/>
      <c r="U90" s="178"/>
      <c r="V90" s="186"/>
      <c r="W90" s="186"/>
      <c r="X90" s="181"/>
      <c r="Y90" s="187"/>
    </row>
    <row r="91" spans="1:27" x14ac:dyDescent="0.25">
      <c r="A91" s="597">
        <f t="shared" si="7"/>
        <v>83</v>
      </c>
      <c r="B91" s="590">
        <f t="shared" si="4"/>
        <v>22291.5</v>
      </c>
      <c r="C91" s="590" t="str">
        <f t="shared" si="6"/>
        <v>/</v>
      </c>
      <c r="D91" s="601">
        <f t="shared" si="5"/>
        <v>23299.5</v>
      </c>
      <c r="E91" s="597">
        <f>E89+1</f>
        <v>41</v>
      </c>
      <c r="F91" s="590">
        <f>21196+808.5+7*E91</f>
        <v>22291.5</v>
      </c>
      <c r="G91" s="591" t="s">
        <v>106</v>
      </c>
      <c r="H91" s="601">
        <f>21196+1816.5+7*E91</f>
        <v>23299.5</v>
      </c>
      <c r="I91" s="597"/>
      <c r="J91" s="590"/>
      <c r="K91" s="590"/>
      <c r="L91" s="605"/>
      <c r="M91" s="597"/>
      <c r="N91" s="590"/>
      <c r="O91" s="590"/>
      <c r="P91" s="605"/>
      <c r="Q91" s="178"/>
      <c r="R91" s="186"/>
      <c r="S91" s="186"/>
      <c r="T91" s="181"/>
      <c r="U91" s="178"/>
      <c r="V91" s="186"/>
      <c r="W91" s="186"/>
      <c r="X91" s="181"/>
      <c r="Y91" s="187"/>
    </row>
    <row r="92" spans="1:27" x14ac:dyDescent="0.25">
      <c r="A92" s="597">
        <f t="shared" si="7"/>
        <v>84</v>
      </c>
      <c r="B92" s="590">
        <f t="shared" si="4"/>
        <v>22295</v>
      </c>
      <c r="C92" s="590" t="str">
        <f t="shared" si="6"/>
        <v>/</v>
      </c>
      <c r="D92" s="601">
        <f t="shared" si="5"/>
        <v>23303</v>
      </c>
      <c r="E92" s="597"/>
      <c r="F92" s="590"/>
      <c r="G92" s="591"/>
      <c r="H92" s="605"/>
      <c r="I92" s="597">
        <f>I88+1</f>
        <v>21</v>
      </c>
      <c r="J92" s="590">
        <f>21196+805+14*I92</f>
        <v>22295</v>
      </c>
      <c r="K92" s="591" t="s">
        <v>106</v>
      </c>
      <c r="L92" s="601">
        <f>21196+1813+14*I92</f>
        <v>23303</v>
      </c>
      <c r="M92" s="597"/>
      <c r="N92" s="590"/>
      <c r="O92" s="590"/>
      <c r="P92" s="605"/>
      <c r="Q92" s="178"/>
      <c r="R92" s="186"/>
      <c r="S92" s="186"/>
      <c r="T92" s="181"/>
      <c r="U92" s="178"/>
      <c r="V92" s="186"/>
      <c r="W92" s="186"/>
      <c r="X92" s="181"/>
      <c r="Y92" s="187"/>
    </row>
    <row r="93" spans="1:27" x14ac:dyDescent="0.25">
      <c r="A93" s="597">
        <f t="shared" si="7"/>
        <v>85</v>
      </c>
      <c r="B93" s="590">
        <f t="shared" si="4"/>
        <v>22298.5</v>
      </c>
      <c r="C93" s="590" t="str">
        <f t="shared" si="6"/>
        <v>/</v>
      </c>
      <c r="D93" s="601">
        <f t="shared" si="5"/>
        <v>23306.5</v>
      </c>
      <c r="E93" s="597">
        <f>E91+1</f>
        <v>42</v>
      </c>
      <c r="F93" s="590">
        <f>21196+808.5+7*E93</f>
        <v>22298.5</v>
      </c>
      <c r="G93" s="591" t="s">
        <v>106</v>
      </c>
      <c r="H93" s="601">
        <f>21196+1816.5+7*E93</f>
        <v>23306.5</v>
      </c>
      <c r="I93" s="597"/>
      <c r="J93" s="590"/>
      <c r="K93" s="590"/>
      <c r="L93" s="605"/>
      <c r="M93" s="597"/>
      <c r="N93" s="590"/>
      <c r="O93" s="590"/>
      <c r="P93" s="605"/>
      <c r="Q93" s="178"/>
      <c r="R93" s="186"/>
      <c r="S93" s="186"/>
      <c r="T93" s="181"/>
      <c r="U93" s="178"/>
      <c r="V93" s="186"/>
      <c r="W93" s="186"/>
      <c r="X93" s="181"/>
      <c r="Y93" s="187"/>
    </row>
    <row r="94" spans="1:27" x14ac:dyDescent="0.25">
      <c r="A94" s="597">
        <f t="shared" si="7"/>
        <v>86</v>
      </c>
      <c r="B94" s="590">
        <f t="shared" si="4"/>
        <v>22302</v>
      </c>
      <c r="C94" s="590" t="str">
        <f t="shared" si="6"/>
        <v>/</v>
      </c>
      <c r="D94" s="601">
        <f t="shared" si="5"/>
        <v>23310</v>
      </c>
      <c r="E94" s="597"/>
      <c r="F94" s="590"/>
      <c r="G94" s="591"/>
      <c r="H94" s="605"/>
      <c r="I94" s="597"/>
      <c r="J94" s="590"/>
      <c r="K94" s="590"/>
      <c r="L94" s="605"/>
      <c r="M94" s="597">
        <f>M86+1</f>
        <v>11</v>
      </c>
      <c r="N94" s="590">
        <f>21196+798+28*M94</f>
        <v>22302</v>
      </c>
      <c r="O94" s="591" t="s">
        <v>106</v>
      </c>
      <c r="P94" s="601">
        <f>21196+1806+28*M94</f>
        <v>23310</v>
      </c>
      <c r="Q94" s="597">
        <f>Q78+1</f>
        <v>5</v>
      </c>
      <c r="R94" s="590">
        <f>21196+826+56*Q94</f>
        <v>22302</v>
      </c>
      <c r="S94" s="591" t="s">
        <v>106</v>
      </c>
      <c r="T94" s="601">
        <f>21196+1834+56*Q94</f>
        <v>23310</v>
      </c>
      <c r="U94" s="597">
        <f>U62+1</f>
        <v>3</v>
      </c>
      <c r="V94" s="590">
        <f>21196+770+112*U94</f>
        <v>22302</v>
      </c>
      <c r="W94" s="591" t="s">
        <v>106</v>
      </c>
      <c r="X94" s="601">
        <f>21196+1778+112*U94</f>
        <v>23310</v>
      </c>
      <c r="Y94" s="187"/>
    </row>
    <row r="95" spans="1:27" x14ac:dyDescent="0.25">
      <c r="A95" s="597">
        <f t="shared" si="7"/>
        <v>87</v>
      </c>
      <c r="B95" s="590">
        <f t="shared" si="4"/>
        <v>22305.5</v>
      </c>
      <c r="C95" s="590" t="str">
        <f t="shared" si="6"/>
        <v>/</v>
      </c>
      <c r="D95" s="601">
        <f t="shared" si="5"/>
        <v>23313.5</v>
      </c>
      <c r="E95" s="597">
        <f>E93+1</f>
        <v>43</v>
      </c>
      <c r="F95" s="590">
        <f>21196+808.5+7*E95</f>
        <v>22305.5</v>
      </c>
      <c r="G95" s="591" t="s">
        <v>106</v>
      </c>
      <c r="H95" s="601">
        <f>21196+1816.5+7*E95</f>
        <v>23313.5</v>
      </c>
      <c r="I95" s="597"/>
      <c r="J95" s="590"/>
      <c r="K95" s="590"/>
      <c r="L95" s="605"/>
      <c r="M95" s="597"/>
      <c r="N95" s="590"/>
      <c r="O95" s="590"/>
      <c r="P95" s="605"/>
      <c r="Q95" s="178"/>
      <c r="R95" s="186"/>
      <c r="S95" s="186"/>
      <c r="T95" s="181"/>
      <c r="U95" s="178"/>
      <c r="V95" s="186"/>
      <c r="W95" s="186"/>
      <c r="X95" s="181"/>
      <c r="Y95" s="187"/>
    </row>
    <row r="96" spans="1:27" x14ac:dyDescent="0.25">
      <c r="A96" s="597">
        <f t="shared" si="7"/>
        <v>88</v>
      </c>
      <c r="B96" s="590">
        <f t="shared" si="4"/>
        <v>22309</v>
      </c>
      <c r="C96" s="590" t="str">
        <f t="shared" si="6"/>
        <v>/</v>
      </c>
      <c r="D96" s="601">
        <f t="shared" si="5"/>
        <v>23317</v>
      </c>
      <c r="E96" s="597"/>
      <c r="F96" s="590"/>
      <c r="G96" s="591"/>
      <c r="H96" s="605"/>
      <c r="I96" s="597">
        <f>I92+1</f>
        <v>22</v>
      </c>
      <c r="J96" s="590">
        <f>21196+805+14*I96</f>
        <v>22309</v>
      </c>
      <c r="K96" s="591" t="s">
        <v>106</v>
      </c>
      <c r="L96" s="601">
        <f>21196+1813+14*I96</f>
        <v>23317</v>
      </c>
      <c r="M96" s="597"/>
      <c r="N96" s="590"/>
      <c r="O96" s="590"/>
      <c r="P96" s="605"/>
      <c r="Q96" s="178"/>
      <c r="R96" s="186"/>
      <c r="S96" s="186"/>
      <c r="T96" s="181"/>
      <c r="U96" s="178"/>
      <c r="V96" s="186"/>
      <c r="W96" s="186"/>
      <c r="X96" s="181"/>
      <c r="Y96" s="187"/>
    </row>
    <row r="97" spans="1:26" x14ac:dyDescent="0.25">
      <c r="A97" s="597">
        <f t="shared" si="7"/>
        <v>89</v>
      </c>
      <c r="B97" s="590">
        <f t="shared" si="4"/>
        <v>22312.5</v>
      </c>
      <c r="C97" s="590" t="str">
        <f t="shared" si="6"/>
        <v>/</v>
      </c>
      <c r="D97" s="601">
        <f t="shared" si="5"/>
        <v>23320.5</v>
      </c>
      <c r="E97" s="597">
        <f>E95+1</f>
        <v>44</v>
      </c>
      <c r="F97" s="590">
        <f>21196+808.5+7*E97</f>
        <v>22312.5</v>
      </c>
      <c r="G97" s="591" t="s">
        <v>106</v>
      </c>
      <c r="H97" s="601">
        <f>21196+1816.5+7*E97</f>
        <v>23320.5</v>
      </c>
      <c r="I97" s="597"/>
      <c r="J97" s="590"/>
      <c r="K97" s="590"/>
      <c r="L97" s="605"/>
      <c r="M97" s="597"/>
      <c r="N97" s="590"/>
      <c r="O97" s="590"/>
      <c r="P97" s="605"/>
      <c r="Q97" s="178"/>
      <c r="R97" s="186"/>
      <c r="S97" s="186"/>
      <c r="T97" s="181"/>
      <c r="U97" s="178"/>
      <c r="V97" s="186"/>
      <c r="W97" s="186"/>
      <c r="X97" s="181"/>
      <c r="Y97" s="187"/>
    </row>
    <row r="98" spans="1:26" x14ac:dyDescent="0.25">
      <c r="A98" s="192">
        <f t="shared" si="7"/>
        <v>90</v>
      </c>
      <c r="B98" s="190">
        <f t="shared" si="4"/>
        <v>22316</v>
      </c>
      <c r="C98" s="190" t="str">
        <f t="shared" si="6"/>
        <v>/</v>
      </c>
      <c r="D98" s="191">
        <f t="shared" si="5"/>
        <v>23324</v>
      </c>
      <c r="E98" s="192"/>
      <c r="F98" s="190"/>
      <c r="G98" s="193"/>
      <c r="H98" s="194"/>
      <c r="I98" s="192"/>
      <c r="J98" s="190"/>
      <c r="K98" s="190"/>
      <c r="L98" s="194"/>
      <c r="M98" s="192"/>
      <c r="N98" s="190"/>
      <c r="O98" s="190"/>
      <c r="P98" s="194"/>
      <c r="Q98" s="178"/>
      <c r="R98" s="186"/>
      <c r="S98" s="186"/>
      <c r="T98" s="181"/>
      <c r="U98" s="178"/>
      <c r="V98" s="186"/>
      <c r="W98" s="186"/>
      <c r="X98" s="181"/>
      <c r="Y98" s="187"/>
    </row>
    <row r="99" spans="1:26" x14ac:dyDescent="0.25">
      <c r="A99" s="597">
        <f t="shared" si="7"/>
        <v>91</v>
      </c>
      <c r="B99" s="590">
        <f t="shared" si="4"/>
        <v>22319.5</v>
      </c>
      <c r="C99" s="590" t="str">
        <f t="shared" si="6"/>
        <v>/</v>
      </c>
      <c r="D99" s="601">
        <f t="shared" si="5"/>
        <v>23327.5</v>
      </c>
      <c r="E99" s="597">
        <f>E97+1</f>
        <v>45</v>
      </c>
      <c r="F99" s="590">
        <f>21196+808.5+7*E99</f>
        <v>22319.5</v>
      </c>
      <c r="G99" s="591" t="s">
        <v>106</v>
      </c>
      <c r="H99" s="601">
        <f>21196+1816.5+7*E99</f>
        <v>23327.5</v>
      </c>
      <c r="I99" s="597"/>
      <c r="J99" s="590"/>
      <c r="K99" s="590"/>
      <c r="L99" s="605"/>
      <c r="M99" s="597"/>
      <c r="N99" s="590"/>
      <c r="O99" s="590"/>
      <c r="P99" s="605"/>
      <c r="Q99" s="178"/>
      <c r="R99" s="186"/>
      <c r="S99" s="186"/>
      <c r="T99" s="181"/>
      <c r="U99" s="178"/>
      <c r="V99" s="186"/>
      <c r="W99" s="186"/>
      <c r="X99" s="181"/>
      <c r="Y99" s="187"/>
    </row>
    <row r="100" spans="1:26" x14ac:dyDescent="0.25">
      <c r="A100" s="597">
        <f t="shared" si="7"/>
        <v>92</v>
      </c>
      <c r="B100" s="590">
        <f t="shared" si="4"/>
        <v>22323</v>
      </c>
      <c r="C100" s="590" t="str">
        <f t="shared" si="6"/>
        <v>/</v>
      </c>
      <c r="D100" s="601">
        <f t="shared" si="5"/>
        <v>23331</v>
      </c>
      <c r="E100" s="597"/>
      <c r="F100" s="590"/>
      <c r="G100" s="591"/>
      <c r="H100" s="605"/>
      <c r="I100" s="597">
        <f>I96+1</f>
        <v>23</v>
      </c>
      <c r="J100" s="590">
        <f>21196+805+14*I100</f>
        <v>22323</v>
      </c>
      <c r="K100" s="591" t="s">
        <v>106</v>
      </c>
      <c r="L100" s="601">
        <f>21196+1813+14*I100</f>
        <v>23331</v>
      </c>
      <c r="M100" s="597"/>
      <c r="N100" s="590"/>
      <c r="O100" s="590"/>
      <c r="P100" s="605"/>
      <c r="Q100" s="178"/>
      <c r="R100" s="186"/>
      <c r="S100" s="186"/>
      <c r="T100" s="181"/>
      <c r="U100" s="178"/>
      <c r="V100" s="186"/>
      <c r="W100" s="186"/>
      <c r="X100" s="181"/>
      <c r="Y100" s="187"/>
    </row>
    <row r="101" spans="1:26" x14ac:dyDescent="0.25">
      <c r="A101" s="597">
        <f t="shared" si="7"/>
        <v>93</v>
      </c>
      <c r="B101" s="590">
        <f t="shared" si="4"/>
        <v>22326.5</v>
      </c>
      <c r="C101" s="590" t="str">
        <f t="shared" si="6"/>
        <v>/</v>
      </c>
      <c r="D101" s="601">
        <f t="shared" si="5"/>
        <v>23334.5</v>
      </c>
      <c r="E101" s="597">
        <f>E99+1</f>
        <v>46</v>
      </c>
      <c r="F101" s="590">
        <f>21196+808.5+7*E101</f>
        <v>22326.5</v>
      </c>
      <c r="G101" s="591" t="s">
        <v>106</v>
      </c>
      <c r="H101" s="601">
        <f>21196+1816.5+7*E101</f>
        <v>23334.5</v>
      </c>
      <c r="I101" s="597"/>
      <c r="J101" s="590"/>
      <c r="K101" s="590"/>
      <c r="L101" s="605"/>
      <c r="M101" s="597"/>
      <c r="N101" s="590"/>
      <c r="O101" s="590"/>
      <c r="P101" s="605"/>
      <c r="Q101" s="178"/>
      <c r="R101" s="186"/>
      <c r="S101" s="186"/>
      <c r="T101" s="181"/>
      <c r="U101" s="178"/>
      <c r="V101" s="186"/>
      <c r="W101" s="186"/>
      <c r="X101" s="181"/>
      <c r="Y101" s="600"/>
      <c r="Z101" s="777"/>
    </row>
    <row r="102" spans="1:26" x14ac:dyDescent="0.25">
      <c r="A102" s="597">
        <f t="shared" si="7"/>
        <v>94</v>
      </c>
      <c r="B102" s="590">
        <f t="shared" si="4"/>
        <v>22330</v>
      </c>
      <c r="C102" s="590" t="str">
        <f t="shared" si="6"/>
        <v>/</v>
      </c>
      <c r="D102" s="601">
        <f t="shared" si="5"/>
        <v>23338</v>
      </c>
      <c r="E102" s="597"/>
      <c r="F102" s="590"/>
      <c r="G102" s="591"/>
      <c r="H102" s="605"/>
      <c r="I102" s="597"/>
      <c r="J102" s="590"/>
      <c r="K102" s="590"/>
      <c r="L102" s="605"/>
      <c r="M102" s="597">
        <f>M94+1</f>
        <v>12</v>
      </c>
      <c r="N102" s="590">
        <f>21196+798+28*M102</f>
        <v>22330</v>
      </c>
      <c r="O102" s="591" t="s">
        <v>106</v>
      </c>
      <c r="P102" s="601">
        <f>21196+1806+28*M102</f>
        <v>23338</v>
      </c>
      <c r="Q102" s="192"/>
      <c r="R102" s="197"/>
      <c r="S102" s="197"/>
      <c r="T102" s="194"/>
      <c r="U102" s="178"/>
      <c r="V102" s="186"/>
      <c r="W102" s="186"/>
      <c r="X102" s="181"/>
      <c r="Y102" s="614" t="s">
        <v>190</v>
      </c>
      <c r="Z102" s="777"/>
    </row>
    <row r="103" spans="1:26" x14ac:dyDescent="0.25">
      <c r="A103" s="597">
        <f t="shared" si="7"/>
        <v>95</v>
      </c>
      <c r="B103" s="590">
        <f t="shared" si="4"/>
        <v>22333.5</v>
      </c>
      <c r="C103" s="590" t="str">
        <f t="shared" si="6"/>
        <v>/</v>
      </c>
      <c r="D103" s="601">
        <f t="shared" si="5"/>
        <v>23341.5</v>
      </c>
      <c r="E103" s="597">
        <f>E101+1</f>
        <v>47</v>
      </c>
      <c r="F103" s="590">
        <f>21196+808.5+7*E103</f>
        <v>22333.5</v>
      </c>
      <c r="G103" s="591" t="s">
        <v>106</v>
      </c>
      <c r="H103" s="601">
        <f>21196+1816.5+7*E103</f>
        <v>23341.5</v>
      </c>
      <c r="I103" s="597"/>
      <c r="J103" s="590"/>
      <c r="K103" s="590"/>
      <c r="L103" s="605"/>
      <c r="M103" s="597"/>
      <c r="N103" s="590"/>
      <c r="O103" s="590"/>
      <c r="P103" s="605"/>
      <c r="Q103" s="597"/>
      <c r="R103" s="705"/>
      <c r="S103" s="705"/>
      <c r="T103" s="605"/>
      <c r="U103" s="178"/>
      <c r="V103" s="186"/>
      <c r="W103" s="186"/>
      <c r="X103" s="181"/>
      <c r="Y103" s="600"/>
    </row>
    <row r="104" spans="1:26" x14ac:dyDescent="0.25">
      <c r="A104" s="597">
        <f t="shared" si="7"/>
        <v>96</v>
      </c>
      <c r="B104" s="590">
        <f t="shared" si="4"/>
        <v>22337</v>
      </c>
      <c r="C104" s="590" t="str">
        <f t="shared" si="6"/>
        <v>/</v>
      </c>
      <c r="D104" s="601">
        <f t="shared" si="5"/>
        <v>23345</v>
      </c>
      <c r="E104" s="597"/>
      <c r="F104" s="590"/>
      <c r="G104" s="591"/>
      <c r="H104" s="605"/>
      <c r="I104" s="597">
        <f>I100+1</f>
        <v>24</v>
      </c>
      <c r="J104" s="590">
        <f>21196+805+14*I104</f>
        <v>22337</v>
      </c>
      <c r="K104" s="591" t="s">
        <v>106</v>
      </c>
      <c r="L104" s="601">
        <f>21196+1813+14*I104</f>
        <v>23345</v>
      </c>
      <c r="M104" s="597"/>
      <c r="N104" s="590"/>
      <c r="O104" s="590"/>
      <c r="P104" s="605"/>
      <c r="Q104" s="597"/>
      <c r="R104" s="705"/>
      <c r="S104" s="705"/>
      <c r="T104" s="605"/>
      <c r="U104" s="178"/>
      <c r="V104" s="186"/>
      <c r="W104" s="186"/>
      <c r="X104" s="181"/>
      <c r="Y104" s="600"/>
    </row>
    <row r="105" spans="1:26" x14ac:dyDescent="0.25">
      <c r="A105" s="597">
        <f t="shared" si="7"/>
        <v>97</v>
      </c>
      <c r="B105" s="590">
        <f t="shared" si="4"/>
        <v>22340.5</v>
      </c>
      <c r="C105" s="590" t="str">
        <f t="shared" si="6"/>
        <v>/</v>
      </c>
      <c r="D105" s="601">
        <f t="shared" si="5"/>
        <v>23348.5</v>
      </c>
      <c r="E105" s="597">
        <f>E103+1</f>
        <v>48</v>
      </c>
      <c r="F105" s="590">
        <f>21196+808.5+7*E105</f>
        <v>22340.5</v>
      </c>
      <c r="G105" s="591" t="s">
        <v>106</v>
      </c>
      <c r="H105" s="601">
        <f>21196+1816.5+7*E105</f>
        <v>23348.5</v>
      </c>
      <c r="I105" s="597"/>
      <c r="J105" s="590"/>
      <c r="K105" s="590"/>
      <c r="L105" s="605"/>
      <c r="M105" s="597"/>
      <c r="N105" s="590"/>
      <c r="O105" s="590"/>
      <c r="P105" s="605"/>
      <c r="Q105" s="597"/>
      <c r="R105" s="705"/>
      <c r="S105" s="705"/>
      <c r="T105" s="605"/>
      <c r="U105" s="178"/>
      <c r="V105" s="186"/>
      <c r="W105" s="186"/>
      <c r="X105" s="181"/>
      <c r="Y105" s="187"/>
    </row>
    <row r="106" spans="1:26" x14ac:dyDescent="0.25">
      <c r="A106" s="192">
        <f t="shared" si="7"/>
        <v>98</v>
      </c>
      <c r="B106" s="190">
        <f t="shared" si="4"/>
        <v>22344</v>
      </c>
      <c r="C106" s="190" t="str">
        <f t="shared" si="6"/>
        <v>/</v>
      </c>
      <c r="D106" s="191">
        <f t="shared" si="5"/>
        <v>23352</v>
      </c>
      <c r="E106" s="192"/>
      <c r="F106" s="190"/>
      <c r="G106" s="193"/>
      <c r="H106" s="194"/>
      <c r="I106" s="192"/>
      <c r="J106" s="190"/>
      <c r="K106" s="190"/>
      <c r="L106" s="194"/>
      <c r="M106" s="192"/>
      <c r="N106" s="190"/>
      <c r="O106" s="190"/>
      <c r="P106" s="194"/>
      <c r="Q106" s="597"/>
      <c r="R106" s="705"/>
      <c r="S106" s="705"/>
      <c r="T106" s="605"/>
      <c r="U106" s="178"/>
      <c r="V106" s="186"/>
      <c r="W106" s="186"/>
      <c r="X106" s="181"/>
      <c r="Y106" s="187"/>
    </row>
    <row r="107" spans="1:26" x14ac:dyDescent="0.25">
      <c r="A107" s="597">
        <f t="shared" si="7"/>
        <v>99</v>
      </c>
      <c r="B107" s="590">
        <f t="shared" si="4"/>
        <v>22347.5</v>
      </c>
      <c r="C107" s="590" t="str">
        <f t="shared" si="6"/>
        <v>/</v>
      </c>
      <c r="D107" s="601">
        <f t="shared" si="5"/>
        <v>23355.5</v>
      </c>
      <c r="E107" s="597">
        <f>E105+1</f>
        <v>49</v>
      </c>
      <c r="F107" s="590">
        <f>21196+808.5+7*E107</f>
        <v>22347.5</v>
      </c>
      <c r="G107" s="591" t="s">
        <v>106</v>
      </c>
      <c r="H107" s="601">
        <f>21196+1816.5+7*E107</f>
        <v>23355.5</v>
      </c>
      <c r="I107" s="597"/>
      <c r="J107" s="590"/>
      <c r="K107" s="590"/>
      <c r="L107" s="605"/>
      <c r="M107" s="597"/>
      <c r="N107" s="590"/>
      <c r="O107" s="590"/>
      <c r="P107" s="605"/>
      <c r="Q107" s="597"/>
      <c r="R107" s="705"/>
      <c r="S107" s="705"/>
      <c r="T107" s="605"/>
      <c r="U107" s="178"/>
      <c r="V107" s="186"/>
      <c r="W107" s="186"/>
      <c r="X107" s="181"/>
      <c r="Y107" s="187"/>
    </row>
    <row r="108" spans="1:26" x14ac:dyDescent="0.25">
      <c r="A108" s="597">
        <f t="shared" si="7"/>
        <v>100</v>
      </c>
      <c r="B108" s="590">
        <f t="shared" si="4"/>
        <v>22351</v>
      </c>
      <c r="C108" s="590" t="str">
        <f t="shared" si="6"/>
        <v>/</v>
      </c>
      <c r="D108" s="601">
        <f t="shared" si="5"/>
        <v>23359</v>
      </c>
      <c r="E108" s="597"/>
      <c r="F108" s="590"/>
      <c r="G108" s="591"/>
      <c r="H108" s="605"/>
      <c r="I108" s="597">
        <f>I104+1</f>
        <v>25</v>
      </c>
      <c r="J108" s="590">
        <f>21196+805+14*I108</f>
        <v>22351</v>
      </c>
      <c r="K108" s="591" t="s">
        <v>106</v>
      </c>
      <c r="L108" s="601">
        <f>21196+1813+14*I108</f>
        <v>23359</v>
      </c>
      <c r="M108" s="597"/>
      <c r="N108" s="590"/>
      <c r="O108" s="590"/>
      <c r="P108" s="605"/>
      <c r="Q108" s="597"/>
      <c r="R108" s="705"/>
      <c r="S108" s="705"/>
      <c r="T108" s="605"/>
      <c r="U108" s="178"/>
      <c r="V108" s="186"/>
      <c r="W108" s="186"/>
      <c r="X108" s="181"/>
      <c r="Y108" s="187"/>
    </row>
    <row r="109" spans="1:26" x14ac:dyDescent="0.25">
      <c r="A109" s="597">
        <f t="shared" si="7"/>
        <v>101</v>
      </c>
      <c r="B109" s="590">
        <f t="shared" si="4"/>
        <v>22354.5</v>
      </c>
      <c r="C109" s="590" t="str">
        <f t="shared" si="6"/>
        <v>/</v>
      </c>
      <c r="D109" s="601">
        <f t="shared" si="5"/>
        <v>23362.5</v>
      </c>
      <c r="E109" s="597">
        <f>E107+1</f>
        <v>50</v>
      </c>
      <c r="F109" s="590">
        <f>21196+808.5+7*E109</f>
        <v>22354.5</v>
      </c>
      <c r="G109" s="591" t="s">
        <v>106</v>
      </c>
      <c r="H109" s="601">
        <f>21196+1816.5+7*E109</f>
        <v>23362.5</v>
      </c>
      <c r="I109" s="597"/>
      <c r="J109" s="590"/>
      <c r="K109" s="590"/>
      <c r="L109" s="605"/>
      <c r="M109" s="597"/>
      <c r="N109" s="590"/>
      <c r="O109" s="590"/>
      <c r="P109" s="605"/>
      <c r="Q109" s="597"/>
      <c r="R109" s="705"/>
      <c r="S109" s="705"/>
      <c r="T109" s="605"/>
      <c r="U109" s="178"/>
      <c r="V109" s="186"/>
      <c r="W109" s="186"/>
      <c r="X109" s="181"/>
      <c r="Y109" s="187"/>
    </row>
    <row r="110" spans="1:26" x14ac:dyDescent="0.25">
      <c r="A110" s="597">
        <f t="shared" si="7"/>
        <v>102</v>
      </c>
      <c r="B110" s="590">
        <f t="shared" si="4"/>
        <v>22358</v>
      </c>
      <c r="C110" s="590" t="str">
        <f t="shared" si="6"/>
        <v>/</v>
      </c>
      <c r="D110" s="601">
        <f t="shared" si="5"/>
        <v>23366</v>
      </c>
      <c r="E110" s="597"/>
      <c r="F110" s="590"/>
      <c r="G110" s="591"/>
      <c r="H110" s="605"/>
      <c r="I110" s="597"/>
      <c r="J110" s="590"/>
      <c r="K110" s="590"/>
      <c r="L110" s="605"/>
      <c r="M110" s="597">
        <f>M102+1</f>
        <v>13</v>
      </c>
      <c r="N110" s="590">
        <f>21196+798+28*M110</f>
        <v>22358</v>
      </c>
      <c r="O110" s="591" t="s">
        <v>106</v>
      </c>
      <c r="P110" s="601">
        <f>21196+1806+28*M110</f>
        <v>23366</v>
      </c>
      <c r="Q110" s="597">
        <f>Q94+1</f>
        <v>6</v>
      </c>
      <c r="R110" s="590">
        <f>21196+826+56*Q110</f>
        <v>22358</v>
      </c>
      <c r="S110" s="591" t="s">
        <v>106</v>
      </c>
      <c r="T110" s="601">
        <f>21196+1834+56*Q110</f>
        <v>23366</v>
      </c>
      <c r="U110" s="192"/>
      <c r="V110" s="197"/>
      <c r="W110" s="197"/>
      <c r="X110" s="194"/>
      <c r="Y110" s="187"/>
    </row>
    <row r="111" spans="1:26" x14ac:dyDescent="0.25">
      <c r="A111" s="597">
        <f t="shared" si="7"/>
        <v>103</v>
      </c>
      <c r="B111" s="590">
        <f t="shared" si="4"/>
        <v>22361.5</v>
      </c>
      <c r="C111" s="590" t="str">
        <f t="shared" si="6"/>
        <v>/</v>
      </c>
      <c r="D111" s="601">
        <f t="shared" si="5"/>
        <v>23369.5</v>
      </c>
      <c r="E111" s="597">
        <f>E109+1</f>
        <v>51</v>
      </c>
      <c r="F111" s="590">
        <f>21196+808.5+7*E111</f>
        <v>22361.5</v>
      </c>
      <c r="G111" s="591" t="s">
        <v>106</v>
      </c>
      <c r="H111" s="601">
        <f>21196+1816.5+7*E111</f>
        <v>23369.5</v>
      </c>
      <c r="I111" s="597"/>
      <c r="J111" s="590"/>
      <c r="K111" s="590"/>
      <c r="L111" s="605"/>
      <c r="M111" s="597"/>
      <c r="N111" s="590"/>
      <c r="O111" s="591"/>
      <c r="P111" s="601"/>
      <c r="Q111" s="597"/>
      <c r="R111" s="705"/>
      <c r="S111" s="705"/>
      <c r="T111" s="605"/>
      <c r="U111" s="597"/>
      <c r="V111" s="590"/>
      <c r="W111" s="591"/>
      <c r="X111" s="601"/>
      <c r="Y111" s="187"/>
    </row>
    <row r="112" spans="1:26" x14ac:dyDescent="0.25">
      <c r="A112" s="597">
        <f t="shared" si="7"/>
        <v>104</v>
      </c>
      <c r="B112" s="590">
        <f t="shared" si="4"/>
        <v>22365</v>
      </c>
      <c r="C112" s="590" t="str">
        <f t="shared" si="6"/>
        <v>/</v>
      </c>
      <c r="D112" s="601">
        <f t="shared" si="5"/>
        <v>23373</v>
      </c>
      <c r="E112" s="597"/>
      <c r="F112" s="590"/>
      <c r="G112" s="591"/>
      <c r="H112" s="605"/>
      <c r="I112" s="597">
        <f>I108+1</f>
        <v>26</v>
      </c>
      <c r="J112" s="590">
        <f>21196+805+14*I112</f>
        <v>22365</v>
      </c>
      <c r="K112" s="591" t="s">
        <v>106</v>
      </c>
      <c r="L112" s="601">
        <f>21196+1813+14*I112</f>
        <v>23373</v>
      </c>
      <c r="M112" s="597"/>
      <c r="N112" s="590"/>
      <c r="O112" s="590"/>
      <c r="P112" s="605"/>
      <c r="Q112" s="597"/>
      <c r="R112" s="705"/>
      <c r="S112" s="705"/>
      <c r="T112" s="605"/>
      <c r="U112" s="597"/>
      <c r="V112" s="590"/>
      <c r="W112" s="591"/>
      <c r="X112" s="601"/>
      <c r="Y112" s="187"/>
    </row>
    <row r="113" spans="1:25" x14ac:dyDescent="0.25">
      <c r="A113" s="597">
        <f t="shared" si="7"/>
        <v>105</v>
      </c>
      <c r="B113" s="590">
        <f t="shared" si="4"/>
        <v>22368.5</v>
      </c>
      <c r="C113" s="590" t="str">
        <f t="shared" si="6"/>
        <v>/</v>
      </c>
      <c r="D113" s="601">
        <f t="shared" si="5"/>
        <v>23376.5</v>
      </c>
      <c r="E113" s="597">
        <f>E111+1</f>
        <v>52</v>
      </c>
      <c r="F113" s="590">
        <f>21196+808.5+7*E113</f>
        <v>22368.5</v>
      </c>
      <c r="G113" s="591" t="s">
        <v>106</v>
      </c>
      <c r="H113" s="601">
        <f>21196+1816.5+7*E113</f>
        <v>23376.5</v>
      </c>
      <c r="I113" s="597"/>
      <c r="J113" s="590"/>
      <c r="K113" s="590"/>
      <c r="L113" s="605"/>
      <c r="M113" s="597"/>
      <c r="N113" s="590"/>
      <c r="O113" s="590"/>
      <c r="P113" s="605"/>
      <c r="Q113" s="597"/>
      <c r="R113" s="705"/>
      <c r="S113" s="705"/>
      <c r="T113" s="605"/>
      <c r="U113" s="597"/>
      <c r="V113" s="590"/>
      <c r="W113" s="591"/>
      <c r="X113" s="601"/>
      <c r="Y113" s="187"/>
    </row>
    <row r="114" spans="1:25" x14ac:dyDescent="0.25">
      <c r="A114" s="192">
        <f t="shared" si="7"/>
        <v>106</v>
      </c>
      <c r="B114" s="190">
        <f t="shared" si="4"/>
        <v>22372</v>
      </c>
      <c r="C114" s="190" t="str">
        <f t="shared" si="6"/>
        <v>/</v>
      </c>
      <c r="D114" s="191">
        <f t="shared" si="5"/>
        <v>23380</v>
      </c>
      <c r="E114" s="192"/>
      <c r="F114" s="190"/>
      <c r="G114" s="193"/>
      <c r="H114" s="194"/>
      <c r="I114" s="192"/>
      <c r="J114" s="190"/>
      <c r="K114" s="190"/>
      <c r="L114" s="194"/>
      <c r="M114" s="192"/>
      <c r="N114" s="190"/>
      <c r="O114" s="190"/>
      <c r="P114" s="194"/>
      <c r="Q114" s="597"/>
      <c r="R114" s="705"/>
      <c r="S114" s="705"/>
      <c r="T114" s="605"/>
      <c r="U114" s="597"/>
      <c r="V114" s="590"/>
      <c r="W114" s="591"/>
      <c r="X114" s="601"/>
      <c r="Y114" s="187"/>
    </row>
    <row r="115" spans="1:25" x14ac:dyDescent="0.25">
      <c r="A115" s="178">
        <f t="shared" si="7"/>
        <v>107</v>
      </c>
      <c r="B115" s="38">
        <f t="shared" si="4"/>
        <v>22375.5</v>
      </c>
      <c r="C115" s="38" t="str">
        <f t="shared" si="6"/>
        <v>/</v>
      </c>
      <c r="D115" s="616">
        <f t="shared" si="5"/>
        <v>23383.5</v>
      </c>
      <c r="E115" s="178">
        <f>E113+1</f>
        <v>53</v>
      </c>
      <c r="F115" s="38">
        <f>21196+808.5+7*E115</f>
        <v>22375.5</v>
      </c>
      <c r="G115" s="42" t="s">
        <v>106</v>
      </c>
      <c r="H115" s="616">
        <f>21196+1816.5+7*E115</f>
        <v>23383.5</v>
      </c>
      <c r="I115" s="178"/>
      <c r="J115" s="38"/>
      <c r="K115" s="38"/>
      <c r="L115" s="181"/>
      <c r="M115" s="178"/>
      <c r="N115" s="38"/>
      <c r="O115" s="38"/>
      <c r="P115" s="181"/>
      <c r="Q115" s="597"/>
      <c r="R115" s="705"/>
      <c r="S115" s="705"/>
      <c r="T115" s="605"/>
      <c r="U115" s="597"/>
      <c r="V115" s="590"/>
      <c r="W115" s="591"/>
      <c r="X115" s="601"/>
      <c r="Y115" s="187"/>
    </row>
    <row r="116" spans="1:25" x14ac:dyDescent="0.25">
      <c r="A116" s="178">
        <f t="shared" si="7"/>
        <v>108</v>
      </c>
      <c r="B116" s="38">
        <f t="shared" si="4"/>
        <v>22379</v>
      </c>
      <c r="C116" s="38" t="str">
        <f t="shared" si="6"/>
        <v>/</v>
      </c>
      <c r="D116" s="616">
        <f t="shared" si="5"/>
        <v>23387</v>
      </c>
      <c r="E116" s="178"/>
      <c r="F116" s="38"/>
      <c r="G116" s="42"/>
      <c r="H116" s="181"/>
      <c r="I116" s="178">
        <f>I112+1</f>
        <v>27</v>
      </c>
      <c r="J116" s="38">
        <f>21196+805+14*I116</f>
        <v>22379</v>
      </c>
      <c r="K116" s="42" t="s">
        <v>106</v>
      </c>
      <c r="L116" s="616">
        <f>21196+1813+14*I116</f>
        <v>23387</v>
      </c>
      <c r="M116" s="178"/>
      <c r="N116" s="38"/>
      <c r="O116" s="38"/>
      <c r="P116" s="181"/>
      <c r="Q116" s="597"/>
      <c r="R116" s="705"/>
      <c r="S116" s="705"/>
      <c r="T116" s="605"/>
      <c r="U116" s="597"/>
      <c r="V116" s="590"/>
      <c r="W116" s="591"/>
      <c r="X116" s="601"/>
      <c r="Y116" s="187"/>
    </row>
    <row r="117" spans="1:25" x14ac:dyDescent="0.25">
      <c r="A117" s="178">
        <f t="shared" si="7"/>
        <v>109</v>
      </c>
      <c r="B117" s="38">
        <f t="shared" si="4"/>
        <v>22382.5</v>
      </c>
      <c r="C117" s="38" t="str">
        <f t="shared" si="6"/>
        <v>/</v>
      </c>
      <c r="D117" s="616">
        <f t="shared" si="5"/>
        <v>23390.5</v>
      </c>
      <c r="E117" s="178">
        <f>E115+1</f>
        <v>54</v>
      </c>
      <c r="F117" s="38">
        <f>21196+808.5+7*E117</f>
        <v>22382.5</v>
      </c>
      <c r="G117" s="42" t="s">
        <v>106</v>
      </c>
      <c r="H117" s="616">
        <f>21196+1816.5+7*E117</f>
        <v>23390.5</v>
      </c>
      <c r="I117" s="178"/>
      <c r="J117" s="38"/>
      <c r="K117" s="38"/>
      <c r="L117" s="181"/>
      <c r="M117" s="178"/>
      <c r="N117" s="38"/>
      <c r="O117" s="38"/>
      <c r="P117" s="181"/>
      <c r="Q117" s="597"/>
      <c r="R117" s="705"/>
      <c r="S117" s="705"/>
      <c r="T117" s="605"/>
      <c r="U117" s="597"/>
      <c r="V117" s="590"/>
      <c r="W117" s="591"/>
      <c r="X117" s="601"/>
      <c r="Y117" s="187"/>
    </row>
    <row r="118" spans="1:25" x14ac:dyDescent="0.25">
      <c r="A118" s="178">
        <f t="shared" si="7"/>
        <v>110</v>
      </c>
      <c r="B118" s="38">
        <f t="shared" si="4"/>
        <v>22386</v>
      </c>
      <c r="C118" s="38" t="str">
        <f t="shared" si="6"/>
        <v>/</v>
      </c>
      <c r="D118" s="616">
        <f t="shared" si="5"/>
        <v>23394</v>
      </c>
      <c r="E118" s="178"/>
      <c r="F118" s="38"/>
      <c r="G118" s="42"/>
      <c r="H118" s="181"/>
      <c r="I118" s="178"/>
      <c r="J118" s="38"/>
      <c r="K118" s="38"/>
      <c r="L118" s="181"/>
      <c r="M118" s="178">
        <f>M110+1</f>
        <v>14</v>
      </c>
      <c r="N118" s="38">
        <f>21196+798+28*M118</f>
        <v>22386</v>
      </c>
      <c r="O118" s="42" t="s">
        <v>106</v>
      </c>
      <c r="P118" s="616">
        <f>21196+1806+28*M118</f>
        <v>23394</v>
      </c>
      <c r="Q118" s="815"/>
      <c r="R118" s="816"/>
      <c r="S118" s="816"/>
      <c r="T118" s="817"/>
      <c r="U118" s="597"/>
      <c r="V118" s="590"/>
      <c r="W118" s="591"/>
      <c r="X118" s="601"/>
      <c r="Y118" s="187"/>
    </row>
    <row r="119" spans="1:25" x14ac:dyDescent="0.25">
      <c r="A119" s="178">
        <f t="shared" si="7"/>
        <v>111</v>
      </c>
      <c r="B119" s="38">
        <f t="shared" si="4"/>
        <v>22389.5</v>
      </c>
      <c r="C119" s="38" t="str">
        <f t="shared" si="6"/>
        <v>/</v>
      </c>
      <c r="D119" s="616">
        <f t="shared" si="5"/>
        <v>23397.5</v>
      </c>
      <c r="E119" s="178">
        <f>E117+1</f>
        <v>55</v>
      </c>
      <c r="F119" s="38">
        <f>21196+808.5+7*E119</f>
        <v>22389.5</v>
      </c>
      <c r="G119" s="42" t="s">
        <v>106</v>
      </c>
      <c r="H119" s="616">
        <f>21196+1816.5+7*E119</f>
        <v>23397.5</v>
      </c>
      <c r="I119" s="178"/>
      <c r="J119" s="38"/>
      <c r="K119" s="38"/>
      <c r="L119" s="181"/>
      <c r="M119" s="178"/>
      <c r="N119" s="38"/>
      <c r="O119" s="38"/>
      <c r="P119" s="181"/>
      <c r="Q119" s="178"/>
      <c r="R119" s="186"/>
      <c r="S119" s="186"/>
      <c r="T119" s="181"/>
      <c r="U119" s="597"/>
      <c r="V119" s="590"/>
      <c r="W119" s="591"/>
      <c r="X119" s="601"/>
      <c r="Y119" s="187"/>
    </row>
    <row r="120" spans="1:25" x14ac:dyDescent="0.25">
      <c r="A120" s="178">
        <f t="shared" si="7"/>
        <v>112</v>
      </c>
      <c r="B120" s="38">
        <f t="shared" si="4"/>
        <v>22393</v>
      </c>
      <c r="C120" s="38" t="str">
        <f t="shared" si="6"/>
        <v>/</v>
      </c>
      <c r="D120" s="616">
        <f t="shared" si="5"/>
        <v>23401</v>
      </c>
      <c r="E120" s="178"/>
      <c r="F120" s="38"/>
      <c r="G120" s="42"/>
      <c r="H120" s="181"/>
      <c r="I120" s="178">
        <f>I116+1</f>
        <v>28</v>
      </c>
      <c r="J120" s="38">
        <f>21196+805+14*I120</f>
        <v>22393</v>
      </c>
      <c r="K120" s="42" t="s">
        <v>106</v>
      </c>
      <c r="L120" s="616">
        <f>21196+1813+14*I120</f>
        <v>23401</v>
      </c>
      <c r="M120" s="178"/>
      <c r="N120" s="38"/>
      <c r="O120" s="42"/>
      <c r="P120" s="616"/>
      <c r="Q120" s="178"/>
      <c r="R120" s="186"/>
      <c r="S120" s="186"/>
      <c r="T120" s="181"/>
      <c r="U120" s="597"/>
      <c r="V120" s="590"/>
      <c r="W120" s="591"/>
      <c r="X120" s="601"/>
      <c r="Y120" s="187"/>
    </row>
    <row r="121" spans="1:25" x14ac:dyDescent="0.25">
      <c r="A121" s="178">
        <f t="shared" si="7"/>
        <v>113</v>
      </c>
      <c r="B121" s="38">
        <f t="shared" si="4"/>
        <v>22396.5</v>
      </c>
      <c r="C121" s="38" t="str">
        <f t="shared" si="6"/>
        <v>/</v>
      </c>
      <c r="D121" s="616">
        <f t="shared" si="5"/>
        <v>23404.5</v>
      </c>
      <c r="E121" s="178">
        <f>E119+1</f>
        <v>56</v>
      </c>
      <c r="F121" s="38">
        <f>21196+808.5+7*E121</f>
        <v>22396.5</v>
      </c>
      <c r="G121" s="42" t="s">
        <v>106</v>
      </c>
      <c r="H121" s="616">
        <f>21196+1816.5+7*E121</f>
        <v>23404.5</v>
      </c>
      <c r="I121" s="178"/>
      <c r="J121" s="38"/>
      <c r="K121" s="38"/>
      <c r="L121" s="181"/>
      <c r="M121" s="178"/>
      <c r="N121" s="38"/>
      <c r="O121" s="38"/>
      <c r="P121" s="181"/>
      <c r="Q121" s="178"/>
      <c r="R121" s="186"/>
      <c r="S121" s="186"/>
      <c r="T121" s="181"/>
      <c r="U121" s="597"/>
      <c r="V121" s="590"/>
      <c r="W121" s="591"/>
      <c r="X121" s="601"/>
      <c r="Y121" s="187"/>
    </row>
    <row r="122" spans="1:25" x14ac:dyDescent="0.25">
      <c r="A122" s="178">
        <f t="shared" si="7"/>
        <v>114</v>
      </c>
      <c r="B122" s="38">
        <f t="shared" si="4"/>
        <v>22400</v>
      </c>
      <c r="C122" s="38" t="str">
        <f t="shared" si="6"/>
        <v>/</v>
      </c>
      <c r="D122" s="616">
        <f t="shared" si="5"/>
        <v>23408</v>
      </c>
      <c r="E122" s="178"/>
      <c r="F122" s="38"/>
      <c r="G122" s="42"/>
      <c r="H122" s="181"/>
      <c r="I122" s="178"/>
      <c r="J122" s="38"/>
      <c r="K122" s="38"/>
      <c r="L122" s="181"/>
      <c r="M122" s="178"/>
      <c r="N122" s="38"/>
      <c r="O122" s="38"/>
      <c r="P122" s="181"/>
      <c r="Q122" s="178"/>
      <c r="S122" s="186"/>
      <c r="T122" s="181"/>
      <c r="U122" s="597"/>
      <c r="V122" s="590"/>
      <c r="W122" s="591"/>
      <c r="X122" s="601"/>
      <c r="Y122" s="187"/>
    </row>
    <row r="123" spans="1:25" x14ac:dyDescent="0.25">
      <c r="A123" s="178">
        <f t="shared" si="7"/>
        <v>115</v>
      </c>
      <c r="B123" s="38">
        <f t="shared" si="4"/>
        <v>22403.5</v>
      </c>
      <c r="C123" s="38" t="str">
        <f t="shared" si="6"/>
        <v>/</v>
      </c>
      <c r="D123" s="616">
        <f t="shared" si="5"/>
        <v>23411.5</v>
      </c>
      <c r="E123" s="178">
        <f>E121+1</f>
        <v>57</v>
      </c>
      <c r="F123" s="38">
        <f>21196+808.5+7*E123</f>
        <v>22403.5</v>
      </c>
      <c r="G123" s="42" t="s">
        <v>106</v>
      </c>
      <c r="H123" s="616">
        <f>21196+1816.5+7*E123</f>
        <v>23411.5</v>
      </c>
      <c r="I123" s="178"/>
      <c r="J123" s="38"/>
      <c r="K123" s="38"/>
      <c r="L123" s="181"/>
      <c r="M123" s="178"/>
      <c r="N123" s="38"/>
      <c r="O123" s="38"/>
      <c r="P123" s="181"/>
      <c r="Q123" s="178"/>
      <c r="R123" s="186"/>
      <c r="S123" s="186"/>
      <c r="T123" s="181"/>
      <c r="U123" s="597"/>
      <c r="V123" s="590"/>
      <c r="W123" s="591"/>
      <c r="X123" s="601"/>
      <c r="Y123" s="187"/>
    </row>
    <row r="124" spans="1:25" x14ac:dyDescent="0.25">
      <c r="A124" s="178">
        <f t="shared" si="7"/>
        <v>116</v>
      </c>
      <c r="B124" s="38">
        <f t="shared" si="4"/>
        <v>22407</v>
      </c>
      <c r="C124" s="38" t="str">
        <f t="shared" si="6"/>
        <v>/</v>
      </c>
      <c r="D124" s="616">
        <f t="shared" si="5"/>
        <v>23415</v>
      </c>
      <c r="E124" s="178"/>
      <c r="F124" s="38"/>
      <c r="G124" s="42"/>
      <c r="H124" s="181"/>
      <c r="I124" s="178">
        <f>I120+1</f>
        <v>29</v>
      </c>
      <c r="J124" s="38">
        <f>21196+805+14*I124</f>
        <v>22407</v>
      </c>
      <c r="K124" s="42" t="s">
        <v>106</v>
      </c>
      <c r="L124" s="616">
        <f>21196+1813+14*I124</f>
        <v>23415</v>
      </c>
      <c r="M124" s="178"/>
      <c r="N124" s="38"/>
      <c r="O124" s="38"/>
      <c r="P124" s="181"/>
      <c r="Q124" s="178"/>
      <c r="R124" s="186"/>
      <c r="S124" s="186"/>
      <c r="T124" s="181"/>
      <c r="U124" s="597"/>
      <c r="V124" s="590"/>
      <c r="W124" s="591"/>
      <c r="X124" s="601"/>
      <c r="Y124" s="187"/>
    </row>
    <row r="125" spans="1:25" x14ac:dyDescent="0.25">
      <c r="A125" s="178">
        <f t="shared" si="7"/>
        <v>117</v>
      </c>
      <c r="B125" s="38">
        <f t="shared" si="4"/>
        <v>22410.5</v>
      </c>
      <c r="C125" s="38" t="str">
        <f t="shared" si="6"/>
        <v>/</v>
      </c>
      <c r="D125" s="616">
        <f t="shared" si="5"/>
        <v>23418.5</v>
      </c>
      <c r="E125" s="178">
        <f>E123+1</f>
        <v>58</v>
      </c>
      <c r="F125" s="38">
        <f>21196+808.5+7*E125</f>
        <v>22410.5</v>
      </c>
      <c r="G125" s="42" t="s">
        <v>106</v>
      </c>
      <c r="H125" s="616">
        <f>21196+1816.5+7*E125</f>
        <v>23418.5</v>
      </c>
      <c r="I125" s="178"/>
      <c r="J125" s="38"/>
      <c r="K125" s="38"/>
      <c r="L125" s="181"/>
      <c r="M125" s="178"/>
      <c r="N125" s="38"/>
      <c r="O125" s="38"/>
      <c r="P125" s="181"/>
      <c r="Q125" s="178"/>
      <c r="R125" s="186"/>
      <c r="S125" s="186"/>
      <c r="T125" s="181"/>
      <c r="U125" s="597"/>
      <c r="V125" s="590"/>
      <c r="W125" s="591"/>
      <c r="X125" s="601"/>
      <c r="Y125" s="187"/>
    </row>
    <row r="126" spans="1:25" x14ac:dyDescent="0.25">
      <c r="A126" s="178">
        <f t="shared" si="7"/>
        <v>118</v>
      </c>
      <c r="B126" s="38">
        <f t="shared" si="4"/>
        <v>22414</v>
      </c>
      <c r="C126" s="38" t="str">
        <f t="shared" si="6"/>
        <v>/</v>
      </c>
      <c r="D126" s="616">
        <f t="shared" si="5"/>
        <v>23422</v>
      </c>
      <c r="E126" s="178"/>
      <c r="F126" s="38"/>
      <c r="G126" s="42"/>
      <c r="H126" s="181"/>
      <c r="I126" s="178"/>
      <c r="J126" s="38"/>
      <c r="K126" s="38"/>
      <c r="L126" s="181"/>
      <c r="M126" s="178">
        <f>M118+1</f>
        <v>15</v>
      </c>
      <c r="N126" s="38">
        <f>21196+798+28*M126</f>
        <v>22414</v>
      </c>
      <c r="O126" s="42" t="s">
        <v>106</v>
      </c>
      <c r="P126" s="616">
        <f>21196+1806+28*M126</f>
        <v>23422</v>
      </c>
      <c r="Q126" s="178">
        <f>Q110+1</f>
        <v>7</v>
      </c>
      <c r="R126" s="38">
        <f>21196+826+56*Q126</f>
        <v>22414</v>
      </c>
      <c r="S126" s="42" t="s">
        <v>106</v>
      </c>
      <c r="T126" s="616">
        <f>21196+1834+56*Q126</f>
        <v>23422</v>
      </c>
      <c r="U126" s="597">
        <f>U94+1</f>
        <v>4</v>
      </c>
      <c r="V126" s="590">
        <f>21196+770+112*U126</f>
        <v>22414</v>
      </c>
      <c r="W126" s="591" t="s">
        <v>106</v>
      </c>
      <c r="X126" s="601">
        <f>21196+1778+112*U126</f>
        <v>23422</v>
      </c>
      <c r="Y126" s="187"/>
    </row>
    <row r="127" spans="1:25" x14ac:dyDescent="0.25">
      <c r="A127" s="178">
        <f t="shared" si="7"/>
        <v>119</v>
      </c>
      <c r="B127" s="38">
        <f t="shared" si="4"/>
        <v>22417.5</v>
      </c>
      <c r="C127" s="38" t="str">
        <f t="shared" si="6"/>
        <v>/</v>
      </c>
      <c r="D127" s="616">
        <f t="shared" si="5"/>
        <v>23425.5</v>
      </c>
      <c r="E127" s="178">
        <f>E125+1</f>
        <v>59</v>
      </c>
      <c r="F127" s="38">
        <f>21196+808.5+7*E127</f>
        <v>22417.5</v>
      </c>
      <c r="G127" s="42" t="s">
        <v>106</v>
      </c>
      <c r="H127" s="616">
        <f>21196+1816.5+7*E127</f>
        <v>23425.5</v>
      </c>
      <c r="I127" s="178"/>
      <c r="J127" s="38"/>
      <c r="K127" s="38"/>
      <c r="L127" s="181"/>
      <c r="M127" s="178"/>
      <c r="N127" s="38"/>
      <c r="O127" s="38"/>
      <c r="P127" s="181"/>
      <c r="Q127" s="178"/>
      <c r="R127" s="186"/>
      <c r="S127" s="186"/>
      <c r="T127" s="181"/>
      <c r="U127" s="597"/>
      <c r="V127" s="590"/>
      <c r="W127" s="591"/>
      <c r="X127" s="601"/>
      <c r="Y127" s="187"/>
    </row>
    <row r="128" spans="1:25" x14ac:dyDescent="0.25">
      <c r="A128" s="178">
        <f t="shared" si="7"/>
        <v>120</v>
      </c>
      <c r="B128" s="38">
        <f t="shared" si="4"/>
        <v>22421</v>
      </c>
      <c r="C128" s="38" t="str">
        <f t="shared" si="6"/>
        <v>/</v>
      </c>
      <c r="D128" s="616">
        <f t="shared" si="5"/>
        <v>23429</v>
      </c>
      <c r="E128" s="178"/>
      <c r="F128" s="38"/>
      <c r="G128" s="42"/>
      <c r="H128" s="181"/>
      <c r="I128" s="178">
        <f>I124+1</f>
        <v>30</v>
      </c>
      <c r="J128" s="38">
        <f>21196+805+14*I128</f>
        <v>22421</v>
      </c>
      <c r="K128" s="42" t="s">
        <v>106</v>
      </c>
      <c r="L128" s="616">
        <f>21196+1813+14*I128</f>
        <v>23429</v>
      </c>
      <c r="M128" s="178"/>
      <c r="N128" s="38"/>
      <c r="O128" s="38"/>
      <c r="P128" s="181"/>
      <c r="Q128" s="178"/>
      <c r="R128" s="186"/>
      <c r="S128" s="186"/>
      <c r="T128" s="181"/>
      <c r="U128" s="597"/>
      <c r="V128" s="590"/>
      <c r="W128" s="591"/>
      <c r="X128" s="601"/>
      <c r="Y128" s="187"/>
    </row>
    <row r="129" spans="1:25" x14ac:dyDescent="0.25">
      <c r="A129" s="178">
        <f t="shared" si="7"/>
        <v>121</v>
      </c>
      <c r="B129" s="38">
        <f t="shared" si="4"/>
        <v>22424.5</v>
      </c>
      <c r="C129" s="38" t="str">
        <f t="shared" si="6"/>
        <v>/</v>
      </c>
      <c r="D129" s="616">
        <f t="shared" si="5"/>
        <v>23432.5</v>
      </c>
      <c r="E129" s="178">
        <f>E127+1</f>
        <v>60</v>
      </c>
      <c r="F129" s="38">
        <f>21196+808.5+7*E129</f>
        <v>22424.5</v>
      </c>
      <c r="G129" s="42" t="s">
        <v>106</v>
      </c>
      <c r="H129" s="616">
        <f>21196+1816.5+7*E129</f>
        <v>23432.5</v>
      </c>
      <c r="I129" s="178"/>
      <c r="J129" s="38"/>
      <c r="K129" s="38"/>
      <c r="L129" s="181"/>
      <c r="M129" s="178"/>
      <c r="N129" s="38"/>
      <c r="O129" s="38"/>
      <c r="P129" s="181"/>
      <c r="Q129" s="178"/>
      <c r="R129" s="186"/>
      <c r="S129" s="186"/>
      <c r="T129" s="181"/>
      <c r="U129" s="597"/>
      <c r="V129" s="590"/>
      <c r="W129" s="591"/>
      <c r="X129" s="601"/>
      <c r="Y129" s="187"/>
    </row>
    <row r="130" spans="1:25" x14ac:dyDescent="0.25">
      <c r="A130" s="178">
        <f t="shared" si="7"/>
        <v>122</v>
      </c>
      <c r="B130" s="38">
        <f t="shared" si="4"/>
        <v>22428</v>
      </c>
      <c r="C130" s="38" t="str">
        <f t="shared" si="6"/>
        <v>/</v>
      </c>
      <c r="D130" s="616">
        <f t="shared" si="5"/>
        <v>23436</v>
      </c>
      <c r="E130" s="178"/>
      <c r="F130" s="38"/>
      <c r="G130" s="42"/>
      <c r="H130" s="181"/>
      <c r="I130" s="178"/>
      <c r="J130" s="38"/>
      <c r="K130" s="38"/>
      <c r="L130" s="181"/>
      <c r="M130" s="178"/>
      <c r="N130" s="38"/>
      <c r="O130" s="38"/>
      <c r="P130" s="181"/>
      <c r="Q130" s="178"/>
      <c r="R130" s="186"/>
      <c r="S130" s="186"/>
      <c r="T130" s="181"/>
      <c r="U130" s="597"/>
      <c r="V130" s="590"/>
      <c r="W130" s="591"/>
      <c r="X130" s="601"/>
      <c r="Y130" s="187" t="s">
        <v>192</v>
      </c>
    </row>
    <row r="131" spans="1:25" x14ac:dyDescent="0.25">
      <c r="A131" s="178">
        <f t="shared" si="7"/>
        <v>123</v>
      </c>
      <c r="B131" s="38">
        <f t="shared" si="4"/>
        <v>22431.5</v>
      </c>
      <c r="C131" s="38" t="str">
        <f t="shared" si="6"/>
        <v>/</v>
      </c>
      <c r="D131" s="616">
        <f t="shared" si="5"/>
        <v>23439.5</v>
      </c>
      <c r="E131" s="178">
        <f>E129+1</f>
        <v>61</v>
      </c>
      <c r="F131" s="38">
        <f>21196+808.5+7*E131</f>
        <v>22431.5</v>
      </c>
      <c r="G131" s="42" t="s">
        <v>106</v>
      </c>
      <c r="H131" s="616">
        <f>21196+1816.5+7*E131</f>
        <v>23439.5</v>
      </c>
      <c r="I131" s="178"/>
      <c r="J131" s="38"/>
      <c r="K131" s="38"/>
      <c r="L131" s="181"/>
      <c r="M131" s="178"/>
      <c r="N131" s="38"/>
      <c r="O131" s="38"/>
      <c r="P131" s="181"/>
      <c r="Q131" s="178"/>
      <c r="R131" s="186"/>
      <c r="S131" s="186"/>
      <c r="T131" s="181"/>
      <c r="U131" s="597"/>
      <c r="V131" s="590"/>
      <c r="W131" s="591"/>
      <c r="X131" s="601"/>
      <c r="Y131" s="187"/>
    </row>
    <row r="132" spans="1:25" x14ac:dyDescent="0.25">
      <c r="A132" s="178">
        <f t="shared" si="7"/>
        <v>124</v>
      </c>
      <c r="B132" s="38">
        <f t="shared" si="4"/>
        <v>22435</v>
      </c>
      <c r="C132" s="38" t="str">
        <f t="shared" si="6"/>
        <v>/</v>
      </c>
      <c r="D132" s="616">
        <f t="shared" si="5"/>
        <v>23443</v>
      </c>
      <c r="E132" s="178"/>
      <c r="F132" s="38"/>
      <c r="G132" s="42"/>
      <c r="H132" s="181"/>
      <c r="I132" s="178">
        <f>I128+1</f>
        <v>31</v>
      </c>
      <c r="J132" s="38">
        <f>21196+805+14*I132</f>
        <v>22435</v>
      </c>
      <c r="K132" s="42" t="s">
        <v>106</v>
      </c>
      <c r="L132" s="616">
        <f>21196+1813+14*I132</f>
        <v>23443</v>
      </c>
      <c r="M132" s="178"/>
      <c r="N132" s="38"/>
      <c r="O132" s="38"/>
      <c r="P132" s="181"/>
      <c r="Q132" s="178"/>
      <c r="R132" s="186"/>
      <c r="S132" s="186"/>
      <c r="T132" s="181"/>
      <c r="U132" s="597"/>
      <c r="V132" s="590"/>
      <c r="W132" s="591"/>
      <c r="X132" s="601"/>
      <c r="Y132" s="187"/>
    </row>
    <row r="133" spans="1:25" x14ac:dyDescent="0.25">
      <c r="A133" s="178">
        <f t="shared" si="7"/>
        <v>125</v>
      </c>
      <c r="B133" s="38">
        <f t="shared" si="4"/>
        <v>22438.5</v>
      </c>
      <c r="C133" s="38" t="str">
        <f t="shared" si="6"/>
        <v>/</v>
      </c>
      <c r="D133" s="616">
        <f t="shared" si="5"/>
        <v>23446.5</v>
      </c>
      <c r="E133" s="178">
        <f>E131+1</f>
        <v>62</v>
      </c>
      <c r="F133" s="38">
        <f>21196+808.5+7*E133</f>
        <v>22438.5</v>
      </c>
      <c r="G133" s="42" t="s">
        <v>106</v>
      </c>
      <c r="H133" s="616">
        <f>21196+1816.5+7*E133</f>
        <v>23446.5</v>
      </c>
      <c r="I133" s="178"/>
      <c r="J133" s="38"/>
      <c r="K133" s="38"/>
      <c r="L133" s="181"/>
      <c r="M133" s="178"/>
      <c r="N133" s="38"/>
      <c r="O133" s="38"/>
      <c r="P133" s="181"/>
      <c r="Q133" s="178"/>
      <c r="R133" s="186"/>
      <c r="S133" s="186"/>
      <c r="T133" s="181"/>
      <c r="U133" s="597"/>
      <c r="V133" s="590"/>
      <c r="W133" s="591"/>
      <c r="X133" s="601"/>
      <c r="Y133" s="187"/>
    </row>
    <row r="134" spans="1:25" x14ac:dyDescent="0.25">
      <c r="A134" s="178">
        <f t="shared" si="7"/>
        <v>126</v>
      </c>
      <c r="B134" s="38">
        <f t="shared" si="4"/>
        <v>22442</v>
      </c>
      <c r="C134" s="38" t="str">
        <f t="shared" si="6"/>
        <v>/</v>
      </c>
      <c r="D134" s="616">
        <f t="shared" si="5"/>
        <v>23450</v>
      </c>
      <c r="E134" s="178"/>
      <c r="F134" s="38"/>
      <c r="G134" s="42"/>
      <c r="H134" s="181"/>
      <c r="I134" s="178"/>
      <c r="J134" s="38"/>
      <c r="K134" s="38"/>
      <c r="L134" s="181"/>
      <c r="M134" s="178">
        <f>M126+1</f>
        <v>16</v>
      </c>
      <c r="N134" s="38">
        <f>21196+798+28*M134</f>
        <v>22442</v>
      </c>
      <c r="O134" s="42" t="s">
        <v>106</v>
      </c>
      <c r="P134" s="616">
        <f>21196+1806+28*M134</f>
        <v>23450</v>
      </c>
      <c r="Q134" s="178"/>
      <c r="R134" s="186"/>
      <c r="S134" s="186"/>
      <c r="T134" s="181"/>
      <c r="U134" s="597"/>
      <c r="V134" s="590"/>
      <c r="W134" s="591"/>
      <c r="X134" s="601"/>
      <c r="Y134" s="187"/>
    </row>
    <row r="135" spans="1:25" x14ac:dyDescent="0.25">
      <c r="A135" s="178">
        <f t="shared" si="7"/>
        <v>127</v>
      </c>
      <c r="B135" s="38">
        <f t="shared" si="4"/>
        <v>22445.5</v>
      </c>
      <c r="C135" s="38" t="str">
        <f t="shared" si="6"/>
        <v>/</v>
      </c>
      <c r="D135" s="616">
        <f t="shared" si="5"/>
        <v>23453.5</v>
      </c>
      <c r="E135" s="178">
        <f>E133+1</f>
        <v>63</v>
      </c>
      <c r="F135" s="38">
        <f>21196+808.5+7*E135</f>
        <v>22445.5</v>
      </c>
      <c r="G135" s="42" t="s">
        <v>106</v>
      </c>
      <c r="H135" s="616">
        <f>21196+1816.5+7*E135</f>
        <v>23453.5</v>
      </c>
      <c r="I135" s="178"/>
      <c r="J135" s="38"/>
      <c r="K135" s="38"/>
      <c r="L135" s="181"/>
      <c r="M135" s="178"/>
      <c r="N135" s="38"/>
      <c r="O135" s="38"/>
      <c r="P135" s="181"/>
      <c r="Q135" s="178"/>
      <c r="R135" s="186"/>
      <c r="S135" s="186"/>
      <c r="T135" s="181"/>
      <c r="U135" s="597"/>
      <c r="V135" s="590"/>
      <c r="W135" s="591"/>
      <c r="X135" s="601"/>
      <c r="Y135" s="187"/>
    </row>
    <row r="136" spans="1:25" x14ac:dyDescent="0.25">
      <c r="A136" s="178">
        <f t="shared" si="7"/>
        <v>128</v>
      </c>
      <c r="B136" s="38">
        <f t="shared" si="4"/>
        <v>22449</v>
      </c>
      <c r="C136" s="38" t="str">
        <f t="shared" si="6"/>
        <v>/</v>
      </c>
      <c r="D136" s="616">
        <f t="shared" si="5"/>
        <v>23457</v>
      </c>
      <c r="E136" s="178"/>
      <c r="F136" s="38"/>
      <c r="G136" s="42"/>
      <c r="H136" s="181"/>
      <c r="I136" s="178">
        <f>I132+1</f>
        <v>32</v>
      </c>
      <c r="J136" s="38">
        <f>21196+805+14*I136</f>
        <v>22449</v>
      </c>
      <c r="K136" s="42" t="s">
        <v>106</v>
      </c>
      <c r="L136" s="616">
        <f>21196+1813+14*I136</f>
        <v>23457</v>
      </c>
      <c r="M136" s="178"/>
      <c r="N136" s="38"/>
      <c r="O136" s="38"/>
      <c r="P136" s="181"/>
      <c r="Q136" s="178"/>
      <c r="R136" s="186"/>
      <c r="S136" s="186"/>
      <c r="T136" s="181"/>
      <c r="U136" s="597"/>
      <c r="V136" s="590"/>
      <c r="W136" s="591"/>
      <c r="X136" s="601"/>
      <c r="Y136" s="187"/>
    </row>
    <row r="137" spans="1:25" x14ac:dyDescent="0.25">
      <c r="A137" s="178">
        <f t="shared" si="7"/>
        <v>129</v>
      </c>
      <c r="B137" s="38">
        <f t="shared" ref="B137:B176" si="8">21196+805+3.5*A137</f>
        <v>22452.5</v>
      </c>
      <c r="C137" s="38" t="str">
        <f t="shared" si="6"/>
        <v>/</v>
      </c>
      <c r="D137" s="616">
        <f t="shared" si="5"/>
        <v>23460.5</v>
      </c>
      <c r="E137" s="178">
        <f>E135+1</f>
        <v>64</v>
      </c>
      <c r="F137" s="38">
        <f>21196+808.5+7*E137</f>
        <v>22452.5</v>
      </c>
      <c r="G137" s="42" t="s">
        <v>106</v>
      </c>
      <c r="H137" s="616">
        <f>21196+1816.5+7*E137</f>
        <v>23460.5</v>
      </c>
      <c r="I137" s="178"/>
      <c r="J137" s="38"/>
      <c r="K137" s="38"/>
      <c r="L137" s="181"/>
      <c r="M137" s="178"/>
      <c r="N137" s="38"/>
      <c r="O137" s="38"/>
      <c r="P137" s="181"/>
      <c r="Q137" s="178"/>
      <c r="R137" s="186"/>
      <c r="S137" s="186"/>
      <c r="T137" s="181"/>
      <c r="U137" s="597"/>
      <c r="V137" s="590"/>
      <c r="W137" s="591"/>
      <c r="X137" s="601"/>
      <c r="Y137" s="187"/>
    </row>
    <row r="138" spans="1:25" x14ac:dyDescent="0.25">
      <c r="A138" s="178">
        <f t="shared" si="7"/>
        <v>130</v>
      </c>
      <c r="B138" s="38">
        <f t="shared" si="8"/>
        <v>22456</v>
      </c>
      <c r="C138" s="38" t="str">
        <f t="shared" si="6"/>
        <v>/</v>
      </c>
      <c r="D138" s="616">
        <f t="shared" ref="D138:D176" si="9">21196+1813+3.5*A138</f>
        <v>23464</v>
      </c>
      <c r="E138" s="178"/>
      <c r="F138" s="38"/>
      <c r="G138" s="42"/>
      <c r="H138" s="181"/>
      <c r="I138" s="178"/>
      <c r="J138" s="38"/>
      <c r="K138" s="38"/>
      <c r="L138" s="181"/>
      <c r="M138" s="178"/>
      <c r="N138" s="38"/>
      <c r="O138" s="38"/>
      <c r="P138" s="181"/>
      <c r="Q138" s="178"/>
      <c r="R138" s="186"/>
      <c r="S138" s="186"/>
      <c r="T138" s="181"/>
      <c r="U138" s="597"/>
      <c r="V138" s="590"/>
      <c r="W138" s="591"/>
      <c r="X138" s="601"/>
      <c r="Y138" s="187"/>
    </row>
    <row r="139" spans="1:25" x14ac:dyDescent="0.25">
      <c r="A139" s="178">
        <f t="shared" si="7"/>
        <v>131</v>
      </c>
      <c r="B139" s="38">
        <f t="shared" si="8"/>
        <v>22459.5</v>
      </c>
      <c r="C139" s="38" t="str">
        <f t="shared" ref="C139:C176" si="10">C138</f>
        <v>/</v>
      </c>
      <c r="D139" s="616">
        <f t="shared" si="9"/>
        <v>23467.5</v>
      </c>
      <c r="E139" s="178">
        <f>E137+1</f>
        <v>65</v>
      </c>
      <c r="F139" s="38">
        <f>21196+808.5+7*E139</f>
        <v>22459.5</v>
      </c>
      <c r="G139" s="42" t="s">
        <v>106</v>
      </c>
      <c r="H139" s="616">
        <f>21196+1816.5+7*E139</f>
        <v>23467.5</v>
      </c>
      <c r="I139" s="178"/>
      <c r="J139" s="38"/>
      <c r="K139" s="38"/>
      <c r="L139" s="181"/>
      <c r="M139" s="178"/>
      <c r="N139" s="38"/>
      <c r="O139" s="38"/>
      <c r="P139" s="181"/>
      <c r="Q139" s="178"/>
      <c r="R139" s="186"/>
      <c r="S139" s="186"/>
      <c r="T139" s="181"/>
      <c r="U139" s="597"/>
      <c r="V139" s="590"/>
      <c r="W139" s="591"/>
      <c r="X139" s="601"/>
      <c r="Y139" s="187"/>
    </row>
    <row r="140" spans="1:25" x14ac:dyDescent="0.25">
      <c r="A140" s="178">
        <f t="shared" si="7"/>
        <v>132</v>
      </c>
      <c r="B140" s="38">
        <f t="shared" si="8"/>
        <v>22463</v>
      </c>
      <c r="C140" s="38" t="str">
        <f t="shared" si="10"/>
        <v>/</v>
      </c>
      <c r="D140" s="616">
        <f t="shared" si="9"/>
        <v>23471</v>
      </c>
      <c r="E140" s="178"/>
      <c r="F140" s="38"/>
      <c r="G140" s="42"/>
      <c r="H140" s="181"/>
      <c r="I140" s="178">
        <f>I136+1</f>
        <v>33</v>
      </c>
      <c r="J140" s="38">
        <f>21196+805+14*I140</f>
        <v>22463</v>
      </c>
      <c r="K140" s="42" t="s">
        <v>106</v>
      </c>
      <c r="L140" s="616">
        <f>21196+1813+14*I140</f>
        <v>23471</v>
      </c>
      <c r="M140" s="178"/>
      <c r="N140" s="38"/>
      <c r="O140" s="38"/>
      <c r="P140" s="181"/>
      <c r="Q140" s="178"/>
      <c r="R140" s="186"/>
      <c r="S140" s="186"/>
      <c r="T140" s="181"/>
      <c r="U140" s="597"/>
      <c r="V140" s="590"/>
      <c r="W140" s="591"/>
      <c r="X140" s="601"/>
      <c r="Y140" s="187"/>
    </row>
    <row r="141" spans="1:25" x14ac:dyDescent="0.25">
      <c r="A141" s="178">
        <f t="shared" si="7"/>
        <v>133</v>
      </c>
      <c r="B141" s="38">
        <f t="shared" si="8"/>
        <v>22466.5</v>
      </c>
      <c r="C141" s="38" t="str">
        <f t="shared" si="10"/>
        <v>/</v>
      </c>
      <c r="D141" s="616">
        <f t="shared" si="9"/>
        <v>23474.5</v>
      </c>
      <c r="E141" s="178">
        <f>E139+1</f>
        <v>66</v>
      </c>
      <c r="F141" s="38">
        <f>21196+808.5+7*E141</f>
        <v>22466.5</v>
      </c>
      <c r="G141" s="42" t="s">
        <v>106</v>
      </c>
      <c r="H141" s="616">
        <f>21196+1816.5+7*E141</f>
        <v>23474.5</v>
      </c>
      <c r="I141" s="178"/>
      <c r="J141" s="38"/>
      <c r="K141" s="38"/>
      <c r="L141" s="181"/>
      <c r="M141" s="178"/>
      <c r="N141" s="38"/>
      <c r="O141" s="38"/>
      <c r="P141" s="181"/>
      <c r="Q141" s="178"/>
      <c r="R141" s="186"/>
      <c r="S141" s="186"/>
      <c r="T141" s="181"/>
      <c r="U141" s="597"/>
      <c r="V141" s="590"/>
      <c r="W141" s="591"/>
      <c r="X141" s="601"/>
      <c r="Y141" s="187"/>
    </row>
    <row r="142" spans="1:25" x14ac:dyDescent="0.25">
      <c r="A142" s="178">
        <f t="shared" si="7"/>
        <v>134</v>
      </c>
      <c r="B142" s="38">
        <f t="shared" si="8"/>
        <v>22470</v>
      </c>
      <c r="C142" s="38" t="str">
        <f t="shared" si="10"/>
        <v>/</v>
      </c>
      <c r="D142" s="616">
        <f t="shared" si="9"/>
        <v>23478</v>
      </c>
      <c r="E142" s="178"/>
      <c r="F142" s="38"/>
      <c r="G142" s="42"/>
      <c r="H142" s="181"/>
      <c r="I142" s="178"/>
      <c r="J142" s="38"/>
      <c r="K142" s="38"/>
      <c r="L142" s="181"/>
      <c r="M142" s="178">
        <f>M134+1</f>
        <v>17</v>
      </c>
      <c r="N142" s="38">
        <f>21196+798+28*M142</f>
        <v>22470</v>
      </c>
      <c r="O142" s="42" t="s">
        <v>106</v>
      </c>
      <c r="P142" s="616">
        <f>21196+1806+28*M142</f>
        <v>23478</v>
      </c>
      <c r="Q142" s="178">
        <f>Q126+1</f>
        <v>8</v>
      </c>
      <c r="R142" s="38">
        <f>21196+826+56*Q142</f>
        <v>22470</v>
      </c>
      <c r="S142" s="42" t="s">
        <v>106</v>
      </c>
      <c r="T142" s="616">
        <f>21196+1834+56*Q142</f>
        <v>23478</v>
      </c>
      <c r="U142" s="597"/>
      <c r="V142" s="590"/>
      <c r="W142" s="591"/>
      <c r="X142" s="601"/>
      <c r="Y142" s="187"/>
    </row>
    <row r="143" spans="1:25" x14ac:dyDescent="0.25">
      <c r="A143" s="178">
        <f t="shared" ref="A143:A176" si="11">A142+1</f>
        <v>135</v>
      </c>
      <c r="B143" s="38">
        <f t="shared" si="8"/>
        <v>22473.5</v>
      </c>
      <c r="C143" s="38" t="str">
        <f t="shared" si="10"/>
        <v>/</v>
      </c>
      <c r="D143" s="616">
        <f t="shared" si="9"/>
        <v>23481.5</v>
      </c>
      <c r="E143" s="178">
        <f>E141+1</f>
        <v>67</v>
      </c>
      <c r="F143" s="38">
        <f>21196+808.5+7*E143</f>
        <v>22473.5</v>
      </c>
      <c r="G143" s="42" t="s">
        <v>106</v>
      </c>
      <c r="H143" s="616">
        <f>21196+1816.5+7*E143</f>
        <v>23481.5</v>
      </c>
      <c r="I143" s="178"/>
      <c r="J143" s="38"/>
      <c r="K143" s="38"/>
      <c r="L143" s="181"/>
      <c r="M143" s="178"/>
      <c r="N143" s="38"/>
      <c r="O143" s="38"/>
      <c r="P143" s="181"/>
      <c r="Q143" s="178"/>
      <c r="R143" s="186"/>
      <c r="S143" s="186"/>
      <c r="T143" s="181"/>
      <c r="U143" s="597"/>
      <c r="V143" s="590"/>
      <c r="W143" s="591"/>
      <c r="X143" s="601"/>
      <c r="Y143" s="187"/>
    </row>
    <row r="144" spans="1:25" x14ac:dyDescent="0.25">
      <c r="A144" s="178">
        <f t="shared" si="11"/>
        <v>136</v>
      </c>
      <c r="B144" s="38">
        <f t="shared" si="8"/>
        <v>22477</v>
      </c>
      <c r="C144" s="38" t="str">
        <f t="shared" si="10"/>
        <v>/</v>
      </c>
      <c r="D144" s="616">
        <f t="shared" si="9"/>
        <v>23485</v>
      </c>
      <c r="E144" s="178"/>
      <c r="F144" s="38"/>
      <c r="G144" s="42"/>
      <c r="H144" s="181"/>
      <c r="I144" s="178">
        <f>I140+1</f>
        <v>34</v>
      </c>
      <c r="J144" s="38">
        <f>21196+805+14*I144</f>
        <v>22477</v>
      </c>
      <c r="K144" s="42" t="s">
        <v>106</v>
      </c>
      <c r="L144" s="616">
        <f>21196+1813+14*I144</f>
        <v>23485</v>
      </c>
      <c r="M144" s="178"/>
      <c r="N144" s="38"/>
      <c r="O144" s="38"/>
      <c r="P144" s="181"/>
      <c r="Q144" s="178"/>
      <c r="R144" s="186"/>
      <c r="S144" s="186"/>
      <c r="T144" s="181"/>
      <c r="U144" s="597"/>
      <c r="V144" s="590"/>
      <c r="W144" s="591"/>
      <c r="X144" s="601"/>
      <c r="Y144" s="187"/>
    </row>
    <row r="145" spans="1:25" x14ac:dyDescent="0.25">
      <c r="A145" s="178">
        <f t="shared" si="11"/>
        <v>137</v>
      </c>
      <c r="B145" s="38">
        <f t="shared" si="8"/>
        <v>22480.5</v>
      </c>
      <c r="C145" s="38" t="str">
        <f t="shared" si="10"/>
        <v>/</v>
      </c>
      <c r="D145" s="616">
        <f t="shared" si="9"/>
        <v>23488.5</v>
      </c>
      <c r="E145" s="178">
        <f>E143+1</f>
        <v>68</v>
      </c>
      <c r="F145" s="38">
        <f>21196+808.5+7*E145</f>
        <v>22480.5</v>
      </c>
      <c r="G145" s="42" t="s">
        <v>106</v>
      </c>
      <c r="H145" s="616">
        <f>21196+1816.5+7*E145</f>
        <v>23488.5</v>
      </c>
      <c r="I145" s="178"/>
      <c r="J145" s="38"/>
      <c r="K145" s="38"/>
      <c r="L145" s="181"/>
      <c r="M145" s="178"/>
      <c r="N145" s="38"/>
      <c r="O145" s="38"/>
      <c r="P145" s="181"/>
      <c r="Q145" s="178"/>
      <c r="R145" s="186"/>
      <c r="S145" s="186"/>
      <c r="T145" s="181"/>
      <c r="U145" s="597"/>
      <c r="V145" s="590"/>
      <c r="W145" s="591"/>
      <c r="X145" s="601"/>
      <c r="Y145" s="187"/>
    </row>
    <row r="146" spans="1:25" x14ac:dyDescent="0.25">
      <c r="A146" s="178">
        <f t="shared" si="11"/>
        <v>138</v>
      </c>
      <c r="B146" s="38">
        <f t="shared" si="8"/>
        <v>22484</v>
      </c>
      <c r="C146" s="38" t="str">
        <f t="shared" si="10"/>
        <v>/</v>
      </c>
      <c r="D146" s="616">
        <f t="shared" si="9"/>
        <v>23492</v>
      </c>
      <c r="E146" s="178"/>
      <c r="F146" s="38"/>
      <c r="G146" s="42"/>
      <c r="H146" s="181"/>
      <c r="I146" s="178"/>
      <c r="J146" s="38"/>
      <c r="K146" s="38"/>
      <c r="L146" s="181"/>
      <c r="M146" s="178"/>
      <c r="N146" s="38"/>
      <c r="O146" s="38"/>
      <c r="P146" s="181"/>
      <c r="Q146" s="178"/>
      <c r="R146" s="186"/>
      <c r="S146" s="186"/>
      <c r="T146" s="181"/>
      <c r="U146" s="597"/>
      <c r="V146" s="590"/>
      <c r="W146" s="591"/>
      <c r="X146" s="601"/>
      <c r="Y146" s="187"/>
    </row>
    <row r="147" spans="1:25" x14ac:dyDescent="0.25">
      <c r="A147" s="178">
        <f t="shared" si="11"/>
        <v>139</v>
      </c>
      <c r="B147" s="38">
        <f t="shared" si="8"/>
        <v>22487.5</v>
      </c>
      <c r="C147" s="38" t="str">
        <f t="shared" si="10"/>
        <v>/</v>
      </c>
      <c r="D147" s="616">
        <f t="shared" si="9"/>
        <v>23495.5</v>
      </c>
      <c r="E147" s="178">
        <f>E145+1</f>
        <v>69</v>
      </c>
      <c r="F147" s="38">
        <f>21196+808.5+7*E147</f>
        <v>22487.5</v>
      </c>
      <c r="G147" s="42" t="s">
        <v>106</v>
      </c>
      <c r="H147" s="616">
        <f>21196+1816.5+7*E147</f>
        <v>23495.5</v>
      </c>
      <c r="I147" s="178"/>
      <c r="J147" s="38"/>
      <c r="K147" s="38"/>
      <c r="L147" s="181"/>
      <c r="M147" s="178"/>
      <c r="N147" s="38"/>
      <c r="O147" s="38"/>
      <c r="P147" s="181"/>
      <c r="Q147" s="178"/>
      <c r="R147" s="186"/>
      <c r="S147" s="186"/>
      <c r="T147" s="181"/>
      <c r="U147" s="597"/>
      <c r="V147" s="590"/>
      <c r="W147" s="591"/>
      <c r="X147" s="601"/>
      <c r="Y147" s="187"/>
    </row>
    <row r="148" spans="1:25" x14ac:dyDescent="0.25">
      <c r="A148" s="178">
        <f t="shared" si="11"/>
        <v>140</v>
      </c>
      <c r="B148" s="38">
        <f t="shared" si="8"/>
        <v>22491</v>
      </c>
      <c r="C148" s="38" t="str">
        <f t="shared" si="10"/>
        <v>/</v>
      </c>
      <c r="D148" s="616">
        <f t="shared" si="9"/>
        <v>23499</v>
      </c>
      <c r="E148" s="178"/>
      <c r="F148" s="38"/>
      <c r="G148" s="42"/>
      <c r="H148" s="181"/>
      <c r="I148" s="178">
        <f>I144+1</f>
        <v>35</v>
      </c>
      <c r="J148" s="38">
        <f>21196+805+14*I148</f>
        <v>22491</v>
      </c>
      <c r="K148" s="42" t="s">
        <v>106</v>
      </c>
      <c r="L148" s="616">
        <f>21196+1813+14*I148</f>
        <v>23499</v>
      </c>
      <c r="M148" s="178"/>
      <c r="N148" s="38"/>
      <c r="O148" s="38"/>
      <c r="P148" s="181"/>
      <c r="Q148" s="178"/>
      <c r="R148" s="186"/>
      <c r="S148" s="186"/>
      <c r="T148" s="181"/>
      <c r="U148" s="597"/>
      <c r="V148" s="590"/>
      <c r="W148" s="591"/>
      <c r="X148" s="601"/>
      <c r="Y148" s="187"/>
    </row>
    <row r="149" spans="1:25" x14ac:dyDescent="0.25">
      <c r="A149" s="178">
        <f t="shared" si="11"/>
        <v>141</v>
      </c>
      <c r="B149" s="38">
        <f t="shared" si="8"/>
        <v>22494.5</v>
      </c>
      <c r="C149" s="38" t="str">
        <f t="shared" si="10"/>
        <v>/</v>
      </c>
      <c r="D149" s="616">
        <f t="shared" si="9"/>
        <v>23502.5</v>
      </c>
      <c r="E149" s="178">
        <f>E147+1</f>
        <v>70</v>
      </c>
      <c r="F149" s="38">
        <f>21196+808.5+7*E149</f>
        <v>22494.5</v>
      </c>
      <c r="G149" s="42" t="s">
        <v>106</v>
      </c>
      <c r="H149" s="616">
        <f>21196+1816.5+7*E149</f>
        <v>23502.5</v>
      </c>
      <c r="I149" s="178"/>
      <c r="J149" s="38"/>
      <c r="K149" s="38"/>
      <c r="L149" s="181"/>
      <c r="M149" s="178"/>
      <c r="N149" s="38"/>
      <c r="O149" s="38"/>
      <c r="P149" s="181"/>
      <c r="Q149" s="178"/>
      <c r="R149" s="186"/>
      <c r="S149" s="186"/>
      <c r="T149" s="181"/>
      <c r="U149" s="597"/>
      <c r="V149" s="590"/>
      <c r="W149" s="591"/>
      <c r="X149" s="601"/>
      <c r="Y149" s="187"/>
    </row>
    <row r="150" spans="1:25" x14ac:dyDescent="0.25">
      <c r="A150" s="178">
        <f t="shared" si="11"/>
        <v>142</v>
      </c>
      <c r="B150" s="38">
        <f t="shared" si="8"/>
        <v>22498</v>
      </c>
      <c r="C150" s="38" t="str">
        <f t="shared" si="10"/>
        <v>/</v>
      </c>
      <c r="D150" s="616">
        <f t="shared" si="9"/>
        <v>23506</v>
      </c>
      <c r="E150" s="178"/>
      <c r="F150" s="38"/>
      <c r="G150" s="42"/>
      <c r="H150" s="181"/>
      <c r="I150" s="178"/>
      <c r="J150" s="38"/>
      <c r="K150" s="38"/>
      <c r="L150" s="181"/>
      <c r="M150" s="178">
        <f>M142+1</f>
        <v>18</v>
      </c>
      <c r="N150" s="38">
        <f>21196+798+28*M150</f>
        <v>22498</v>
      </c>
      <c r="O150" s="42" t="s">
        <v>106</v>
      </c>
      <c r="P150" s="616">
        <f>21196+1806+28*M150</f>
        <v>23506</v>
      </c>
      <c r="Q150" s="178"/>
      <c r="R150" s="186"/>
      <c r="S150" s="186"/>
      <c r="T150" s="181"/>
      <c r="U150" s="597"/>
      <c r="V150" s="590"/>
      <c r="W150" s="591"/>
      <c r="X150" s="601"/>
      <c r="Y150" s="187"/>
    </row>
    <row r="151" spans="1:25" x14ac:dyDescent="0.25">
      <c r="A151" s="178">
        <f t="shared" si="11"/>
        <v>143</v>
      </c>
      <c r="B151" s="38">
        <f t="shared" si="8"/>
        <v>22501.5</v>
      </c>
      <c r="C151" s="38" t="str">
        <f t="shared" si="10"/>
        <v>/</v>
      </c>
      <c r="D151" s="616">
        <f t="shared" si="9"/>
        <v>23509.5</v>
      </c>
      <c r="E151" s="178">
        <f>E149+1</f>
        <v>71</v>
      </c>
      <c r="F151" s="38">
        <f>21196+808.5+7*E151</f>
        <v>22501.5</v>
      </c>
      <c r="G151" s="42" t="s">
        <v>106</v>
      </c>
      <c r="H151" s="616">
        <f>21196+1816.5+7*E151</f>
        <v>23509.5</v>
      </c>
      <c r="I151" s="178"/>
      <c r="J151" s="38"/>
      <c r="K151" s="38"/>
      <c r="L151" s="181"/>
      <c r="M151" s="178"/>
      <c r="N151" s="38"/>
      <c r="O151" s="38"/>
      <c r="P151" s="181"/>
      <c r="Q151" s="178"/>
      <c r="R151" s="186"/>
      <c r="S151" s="186"/>
      <c r="T151" s="181"/>
      <c r="U151" s="597"/>
      <c r="V151" s="590"/>
      <c r="W151" s="591"/>
      <c r="X151" s="601"/>
      <c r="Y151" s="187"/>
    </row>
    <row r="152" spans="1:25" x14ac:dyDescent="0.25">
      <c r="A152" s="178">
        <f t="shared" si="11"/>
        <v>144</v>
      </c>
      <c r="B152" s="38">
        <f t="shared" si="8"/>
        <v>22505</v>
      </c>
      <c r="C152" s="38" t="str">
        <f t="shared" si="10"/>
        <v>/</v>
      </c>
      <c r="D152" s="616">
        <f t="shared" si="9"/>
        <v>23513</v>
      </c>
      <c r="E152" s="178"/>
      <c r="F152" s="38"/>
      <c r="G152" s="42"/>
      <c r="H152" s="181"/>
      <c r="I152" s="178">
        <f>I148+1</f>
        <v>36</v>
      </c>
      <c r="J152" s="38">
        <f>21196+805+14*I152</f>
        <v>22505</v>
      </c>
      <c r="K152" s="42" t="s">
        <v>106</v>
      </c>
      <c r="L152" s="616">
        <f>21196+1813+14*I152</f>
        <v>23513</v>
      </c>
      <c r="M152" s="178"/>
      <c r="N152" s="38"/>
      <c r="O152" s="38"/>
      <c r="P152" s="181"/>
      <c r="Q152" s="178"/>
      <c r="R152" s="186"/>
      <c r="S152" s="186"/>
      <c r="T152" s="181"/>
      <c r="U152" s="597"/>
      <c r="V152" s="590"/>
      <c r="W152" s="591"/>
      <c r="X152" s="601"/>
      <c r="Y152" s="187"/>
    </row>
    <row r="153" spans="1:25" x14ac:dyDescent="0.25">
      <c r="A153" s="178">
        <f t="shared" si="11"/>
        <v>145</v>
      </c>
      <c r="B153" s="38">
        <f t="shared" si="8"/>
        <v>22508.5</v>
      </c>
      <c r="C153" s="38" t="str">
        <f t="shared" si="10"/>
        <v>/</v>
      </c>
      <c r="D153" s="616">
        <f t="shared" si="9"/>
        <v>23516.5</v>
      </c>
      <c r="E153" s="178">
        <f>E151+1</f>
        <v>72</v>
      </c>
      <c r="F153" s="38">
        <f>21196+808.5+7*E153</f>
        <v>22508.5</v>
      </c>
      <c r="G153" s="42" t="s">
        <v>106</v>
      </c>
      <c r="H153" s="616">
        <f>21196+1816.5+7*E153</f>
        <v>23516.5</v>
      </c>
      <c r="I153" s="178"/>
      <c r="J153" s="38"/>
      <c r="K153" s="38"/>
      <c r="L153" s="181"/>
      <c r="M153" s="178"/>
      <c r="N153" s="38"/>
      <c r="O153" s="38"/>
      <c r="P153" s="38"/>
      <c r="Q153" s="178"/>
      <c r="R153" s="186"/>
      <c r="S153" s="186"/>
      <c r="T153" s="181"/>
      <c r="U153" s="597"/>
      <c r="V153" s="590"/>
      <c r="W153" s="591"/>
      <c r="X153" s="601"/>
      <c r="Y153" s="187"/>
    </row>
    <row r="154" spans="1:25" x14ac:dyDescent="0.25">
      <c r="A154" s="597">
        <f t="shared" si="11"/>
        <v>146</v>
      </c>
      <c r="B154" s="590">
        <f t="shared" si="8"/>
        <v>22512</v>
      </c>
      <c r="C154" s="590" t="str">
        <f t="shared" si="10"/>
        <v>/</v>
      </c>
      <c r="D154" s="601">
        <f t="shared" si="9"/>
        <v>23520</v>
      </c>
      <c r="E154" s="178"/>
      <c r="F154" s="38"/>
      <c r="G154" s="42"/>
      <c r="H154" s="181"/>
      <c r="I154" s="178"/>
      <c r="J154" s="38"/>
      <c r="K154" s="38"/>
      <c r="L154" s="181"/>
      <c r="M154" s="178"/>
      <c r="N154" s="38"/>
      <c r="O154" s="38"/>
      <c r="P154" s="181"/>
      <c r="Q154" s="178"/>
      <c r="R154" s="186"/>
      <c r="S154" s="186"/>
      <c r="T154" s="181"/>
      <c r="U154" s="597"/>
      <c r="V154" s="590"/>
      <c r="W154" s="591"/>
      <c r="X154" s="601"/>
      <c r="Y154" s="187"/>
    </row>
    <row r="155" spans="1:25" x14ac:dyDescent="0.25">
      <c r="A155" s="597">
        <f t="shared" si="11"/>
        <v>147</v>
      </c>
      <c r="B155" s="590">
        <f t="shared" si="8"/>
        <v>22515.5</v>
      </c>
      <c r="C155" s="590" t="str">
        <f t="shared" si="10"/>
        <v>/</v>
      </c>
      <c r="D155" s="601">
        <f t="shared" si="9"/>
        <v>23523.5</v>
      </c>
      <c r="E155" s="597">
        <f>E153+1</f>
        <v>73</v>
      </c>
      <c r="F155" s="590">
        <f>21196+808.5+7*E155</f>
        <v>22515.5</v>
      </c>
      <c r="G155" s="591" t="s">
        <v>106</v>
      </c>
      <c r="H155" s="601">
        <f>21196+1816.5+7*E155</f>
        <v>23523.5</v>
      </c>
      <c r="I155" s="178"/>
      <c r="J155" s="38"/>
      <c r="K155" s="38"/>
      <c r="L155" s="181"/>
      <c r="M155" s="178"/>
      <c r="N155" s="38"/>
      <c r="O155" s="38"/>
      <c r="P155" s="181"/>
      <c r="Q155" s="178"/>
      <c r="R155" s="186"/>
      <c r="S155" s="186"/>
      <c r="T155" s="181"/>
      <c r="U155" s="597"/>
      <c r="V155" s="590"/>
      <c r="W155" s="591"/>
      <c r="X155" s="601"/>
      <c r="Y155" s="614"/>
    </row>
    <row r="156" spans="1:25" x14ac:dyDescent="0.25">
      <c r="A156" s="597">
        <f t="shared" si="11"/>
        <v>148</v>
      </c>
      <c r="B156" s="590">
        <f t="shared" si="8"/>
        <v>22519</v>
      </c>
      <c r="C156" s="590" t="str">
        <f t="shared" si="10"/>
        <v>/</v>
      </c>
      <c r="D156" s="601">
        <f t="shared" si="9"/>
        <v>23527</v>
      </c>
      <c r="E156" s="597"/>
      <c r="F156" s="590"/>
      <c r="G156" s="591"/>
      <c r="H156" s="605"/>
      <c r="I156" s="597">
        <f>I152+1</f>
        <v>37</v>
      </c>
      <c r="J156" s="590">
        <f>21196+805+14*I156</f>
        <v>22519</v>
      </c>
      <c r="K156" s="591" t="s">
        <v>106</v>
      </c>
      <c r="L156" s="601">
        <f>21196+1813+14*I156</f>
        <v>23527</v>
      </c>
      <c r="M156" s="597"/>
      <c r="N156" s="590"/>
      <c r="O156" s="590"/>
      <c r="P156" s="605"/>
      <c r="Q156" s="178"/>
      <c r="R156" s="186"/>
      <c r="S156" s="186"/>
      <c r="T156" s="181"/>
      <c r="U156" s="597"/>
      <c r="V156" s="590"/>
      <c r="W156" s="591"/>
      <c r="X156" s="601"/>
      <c r="Y156" s="614"/>
    </row>
    <row r="157" spans="1:25" x14ac:dyDescent="0.25">
      <c r="A157" s="597">
        <f t="shared" si="11"/>
        <v>149</v>
      </c>
      <c r="B157" s="590">
        <f t="shared" si="8"/>
        <v>22522.5</v>
      </c>
      <c r="C157" s="590" t="str">
        <f t="shared" si="10"/>
        <v>/</v>
      </c>
      <c r="D157" s="601">
        <f t="shared" si="9"/>
        <v>23530.5</v>
      </c>
      <c r="E157" s="597">
        <f>E155+1</f>
        <v>74</v>
      </c>
      <c r="F157" s="590">
        <f>21196+808.5+7*E157</f>
        <v>22522.5</v>
      </c>
      <c r="G157" s="591" t="s">
        <v>106</v>
      </c>
      <c r="H157" s="601">
        <f>21196+1816.5+7*E157</f>
        <v>23530.5</v>
      </c>
      <c r="I157" s="597"/>
      <c r="J157" s="590"/>
      <c r="K157" s="590"/>
      <c r="L157" s="605"/>
      <c r="M157" s="597"/>
      <c r="N157" s="590"/>
      <c r="O157" s="590"/>
      <c r="P157" s="605"/>
      <c r="Q157" s="178"/>
      <c r="R157" s="186"/>
      <c r="S157" s="186"/>
      <c r="T157" s="181"/>
      <c r="U157" s="597"/>
      <c r="V157" s="590"/>
      <c r="W157" s="591"/>
      <c r="X157" s="601"/>
      <c r="Y157" s="614"/>
    </row>
    <row r="158" spans="1:25" x14ac:dyDescent="0.25">
      <c r="A158" s="597">
        <f t="shared" si="11"/>
        <v>150</v>
      </c>
      <c r="B158" s="590">
        <f t="shared" si="8"/>
        <v>22526</v>
      </c>
      <c r="C158" s="590" t="str">
        <f t="shared" si="10"/>
        <v>/</v>
      </c>
      <c r="D158" s="601">
        <f t="shared" si="9"/>
        <v>23534</v>
      </c>
      <c r="E158" s="597"/>
      <c r="F158" s="590"/>
      <c r="G158" s="591"/>
      <c r="H158" s="605"/>
      <c r="I158" s="597"/>
      <c r="J158" s="590"/>
      <c r="K158" s="590"/>
      <c r="L158" s="605"/>
      <c r="M158" s="597">
        <f>M150+1</f>
        <v>19</v>
      </c>
      <c r="N158" s="590">
        <f>21196+798+28*M158</f>
        <v>22526</v>
      </c>
      <c r="O158" s="591" t="s">
        <v>106</v>
      </c>
      <c r="P158" s="601">
        <f>21196+1806+28*M158</f>
        <v>23534</v>
      </c>
      <c r="Q158" s="597">
        <f>Q142+1</f>
        <v>9</v>
      </c>
      <c r="R158" s="590">
        <f>21196+826+56*Q158</f>
        <v>22526</v>
      </c>
      <c r="S158" s="591" t="s">
        <v>106</v>
      </c>
      <c r="T158" s="601">
        <f>21196+1834+56*Q158</f>
        <v>23534</v>
      </c>
      <c r="U158" s="597">
        <f>U126+1</f>
        <v>5</v>
      </c>
      <c r="V158" s="590">
        <f>21196+770+112*U158</f>
        <v>22526</v>
      </c>
      <c r="W158" s="591" t="s">
        <v>106</v>
      </c>
      <c r="X158" s="601">
        <f>21196+1778+112*U158</f>
        <v>23534</v>
      </c>
      <c r="Y158" s="614"/>
    </row>
    <row r="159" spans="1:25" x14ac:dyDescent="0.25">
      <c r="A159" s="597">
        <f t="shared" si="11"/>
        <v>151</v>
      </c>
      <c r="B159" s="590">
        <f t="shared" si="8"/>
        <v>22529.5</v>
      </c>
      <c r="C159" s="590" t="str">
        <f t="shared" si="10"/>
        <v>/</v>
      </c>
      <c r="D159" s="601">
        <f t="shared" si="9"/>
        <v>23537.5</v>
      </c>
      <c r="E159" s="597">
        <f>E157+1</f>
        <v>75</v>
      </c>
      <c r="F159" s="590">
        <f>21196+808.5+7*E159</f>
        <v>22529.5</v>
      </c>
      <c r="G159" s="591" t="s">
        <v>106</v>
      </c>
      <c r="H159" s="601">
        <f>21196+1816.5+7*E159</f>
        <v>23537.5</v>
      </c>
      <c r="I159" s="597"/>
      <c r="J159" s="590"/>
      <c r="K159" s="590"/>
      <c r="L159" s="605"/>
      <c r="M159" s="597"/>
      <c r="N159" s="590"/>
      <c r="O159" s="590"/>
      <c r="P159" s="605"/>
      <c r="Q159" s="178"/>
      <c r="R159" s="186"/>
      <c r="S159" s="186"/>
      <c r="T159" s="181"/>
      <c r="U159" s="178"/>
      <c r="V159" s="186"/>
      <c r="W159" s="186"/>
      <c r="X159" s="181"/>
      <c r="Y159" s="598"/>
    </row>
    <row r="160" spans="1:25" x14ac:dyDescent="0.25">
      <c r="A160" s="597">
        <f t="shared" si="11"/>
        <v>152</v>
      </c>
      <c r="B160" s="590">
        <f t="shared" si="8"/>
        <v>22533</v>
      </c>
      <c r="C160" s="590" t="str">
        <f t="shared" si="10"/>
        <v>/</v>
      </c>
      <c r="D160" s="601">
        <f t="shared" si="9"/>
        <v>23541</v>
      </c>
      <c r="E160" s="597"/>
      <c r="F160" s="590"/>
      <c r="G160" s="591"/>
      <c r="H160" s="605"/>
      <c r="I160" s="597">
        <f>I156+1</f>
        <v>38</v>
      </c>
      <c r="J160" s="590">
        <f>21196+805+14*I160</f>
        <v>22533</v>
      </c>
      <c r="K160" s="591" t="s">
        <v>106</v>
      </c>
      <c r="L160" s="601">
        <f>21196+1813+14*I160</f>
        <v>23541</v>
      </c>
      <c r="M160" s="597"/>
      <c r="N160" s="590"/>
      <c r="O160" s="590"/>
      <c r="P160" s="605"/>
      <c r="Q160" s="178"/>
      <c r="R160" s="186"/>
      <c r="S160" s="186"/>
      <c r="T160" s="181"/>
      <c r="U160" s="178"/>
      <c r="V160" s="186"/>
      <c r="W160" s="186"/>
      <c r="X160" s="181"/>
      <c r="Y160" s="614"/>
    </row>
    <row r="161" spans="1:25" x14ac:dyDescent="0.25">
      <c r="A161" s="597">
        <f t="shared" si="11"/>
        <v>153</v>
      </c>
      <c r="B161" s="590">
        <f t="shared" si="8"/>
        <v>22536.5</v>
      </c>
      <c r="C161" s="590" t="str">
        <f t="shared" si="10"/>
        <v>/</v>
      </c>
      <c r="D161" s="601">
        <f t="shared" si="9"/>
        <v>23544.5</v>
      </c>
      <c r="E161" s="597">
        <f>E159+1</f>
        <v>76</v>
      </c>
      <c r="F161" s="590">
        <f>21196+808.5+7*E161</f>
        <v>22536.5</v>
      </c>
      <c r="G161" s="591" t="s">
        <v>106</v>
      </c>
      <c r="H161" s="601">
        <f>21196+1816.5+7*E161</f>
        <v>23544.5</v>
      </c>
      <c r="I161" s="597"/>
      <c r="J161" s="590"/>
      <c r="K161" s="590"/>
      <c r="L161" s="605"/>
      <c r="M161" s="597"/>
      <c r="N161" s="590"/>
      <c r="O161" s="590"/>
      <c r="P161" s="605"/>
      <c r="Q161" s="178"/>
      <c r="R161" s="186"/>
      <c r="S161" s="186"/>
      <c r="T161" s="181"/>
      <c r="U161" s="178"/>
      <c r="V161" s="186"/>
      <c r="W161" s="186"/>
      <c r="X161" s="181"/>
      <c r="Y161" s="614"/>
    </row>
    <row r="162" spans="1:25" x14ac:dyDescent="0.25">
      <c r="A162" s="597">
        <f t="shared" si="11"/>
        <v>154</v>
      </c>
      <c r="B162" s="590">
        <f t="shared" si="8"/>
        <v>22540</v>
      </c>
      <c r="C162" s="590" t="str">
        <f t="shared" si="10"/>
        <v>/</v>
      </c>
      <c r="D162" s="601">
        <f t="shared" si="9"/>
        <v>23548</v>
      </c>
      <c r="E162" s="597"/>
      <c r="F162" s="590"/>
      <c r="G162" s="591"/>
      <c r="H162" s="605"/>
      <c r="I162" s="597"/>
      <c r="J162" s="590"/>
      <c r="K162" s="590"/>
      <c r="L162" s="605"/>
      <c r="M162" s="597"/>
      <c r="N162" s="590"/>
      <c r="O162" s="590"/>
      <c r="P162" s="605"/>
      <c r="Q162" s="178"/>
      <c r="R162" s="186"/>
      <c r="S162" s="186"/>
      <c r="T162" s="181"/>
      <c r="U162" s="178"/>
      <c r="V162" s="186"/>
      <c r="W162" s="186"/>
      <c r="X162" s="181"/>
      <c r="Y162" s="614"/>
    </row>
    <row r="163" spans="1:25" x14ac:dyDescent="0.25">
      <c r="A163" s="597">
        <f t="shared" si="11"/>
        <v>155</v>
      </c>
      <c r="B163" s="590">
        <f t="shared" si="8"/>
        <v>22543.5</v>
      </c>
      <c r="C163" s="590" t="str">
        <f t="shared" si="10"/>
        <v>/</v>
      </c>
      <c r="D163" s="601">
        <f t="shared" si="9"/>
        <v>23551.5</v>
      </c>
      <c r="E163" s="597">
        <f>E161+1</f>
        <v>77</v>
      </c>
      <c r="F163" s="590">
        <f>21196+808.5+7*E163</f>
        <v>22543.5</v>
      </c>
      <c r="G163" s="591" t="s">
        <v>106</v>
      </c>
      <c r="H163" s="601">
        <f>21196+1816.5+7*E163</f>
        <v>23551.5</v>
      </c>
      <c r="I163" s="597"/>
      <c r="J163" s="590"/>
      <c r="K163" s="590"/>
      <c r="L163" s="605"/>
      <c r="M163" s="597"/>
      <c r="N163" s="590"/>
      <c r="O163" s="590"/>
      <c r="P163" s="605"/>
      <c r="Q163" s="178"/>
      <c r="R163" s="186"/>
      <c r="S163" s="186"/>
      <c r="T163" s="181"/>
      <c r="U163" s="178"/>
      <c r="V163" s="186"/>
      <c r="W163" s="186"/>
      <c r="X163" s="181"/>
      <c r="Y163" s="614"/>
    </row>
    <row r="164" spans="1:25" x14ac:dyDescent="0.25">
      <c r="A164" s="597">
        <f t="shared" si="11"/>
        <v>156</v>
      </c>
      <c r="B164" s="590">
        <f t="shared" si="8"/>
        <v>22547</v>
      </c>
      <c r="C164" s="590" t="str">
        <f t="shared" si="10"/>
        <v>/</v>
      </c>
      <c r="D164" s="601">
        <f t="shared" si="9"/>
        <v>23555</v>
      </c>
      <c r="E164" s="597"/>
      <c r="F164" s="590"/>
      <c r="G164" s="591"/>
      <c r="H164" s="605"/>
      <c r="I164" s="597">
        <f>I160+1</f>
        <v>39</v>
      </c>
      <c r="J164" s="590">
        <f>21196+805+14*I164</f>
        <v>22547</v>
      </c>
      <c r="K164" s="591" t="s">
        <v>106</v>
      </c>
      <c r="L164" s="601">
        <f>21196+1813+14*I164</f>
        <v>23555</v>
      </c>
      <c r="M164" s="597"/>
      <c r="N164" s="590"/>
      <c r="O164" s="590"/>
      <c r="P164" s="605"/>
      <c r="Q164" s="178"/>
      <c r="R164" s="186"/>
      <c r="S164" s="186"/>
      <c r="T164" s="181"/>
      <c r="U164" s="178"/>
      <c r="V164" s="186"/>
      <c r="W164" s="186"/>
      <c r="X164" s="181"/>
      <c r="Y164" s="614" t="s">
        <v>190</v>
      </c>
    </row>
    <row r="165" spans="1:25" x14ac:dyDescent="0.25">
      <c r="A165" s="597">
        <f t="shared" si="11"/>
        <v>157</v>
      </c>
      <c r="B165" s="590">
        <f t="shared" si="8"/>
        <v>22550.5</v>
      </c>
      <c r="C165" s="590" t="str">
        <f t="shared" si="10"/>
        <v>/</v>
      </c>
      <c r="D165" s="601">
        <f t="shared" si="9"/>
        <v>23558.5</v>
      </c>
      <c r="E165" s="597">
        <f>E163+1</f>
        <v>78</v>
      </c>
      <c r="F165" s="590">
        <f>21196+808.5+7*E165</f>
        <v>22550.5</v>
      </c>
      <c r="G165" s="591" t="s">
        <v>106</v>
      </c>
      <c r="H165" s="601">
        <f>21196+1816.5+7*E165</f>
        <v>23558.5</v>
      </c>
      <c r="I165" s="597"/>
      <c r="J165" s="590"/>
      <c r="K165" s="590"/>
      <c r="L165" s="605"/>
      <c r="M165" s="597"/>
      <c r="N165" s="590"/>
      <c r="O165" s="590"/>
      <c r="P165" s="605"/>
      <c r="Q165" s="178"/>
      <c r="R165" s="186"/>
      <c r="S165" s="186"/>
      <c r="T165" s="181"/>
      <c r="U165" s="178"/>
      <c r="V165" s="186"/>
      <c r="W165" s="186"/>
      <c r="X165" s="181"/>
      <c r="Y165" s="598"/>
    </row>
    <row r="166" spans="1:25" ht="15.75" thickBot="1" x14ac:dyDescent="0.3">
      <c r="A166" s="597">
        <f t="shared" si="11"/>
        <v>158</v>
      </c>
      <c r="B166" s="590">
        <f t="shared" si="8"/>
        <v>22554</v>
      </c>
      <c r="C166" s="590" t="str">
        <f t="shared" si="10"/>
        <v>/</v>
      </c>
      <c r="D166" s="601">
        <f t="shared" si="9"/>
        <v>23562</v>
      </c>
      <c r="E166" s="597"/>
      <c r="F166" s="590"/>
      <c r="G166" s="591"/>
      <c r="H166" s="605"/>
      <c r="I166" s="597"/>
      <c r="J166" s="590"/>
      <c r="K166" s="590"/>
      <c r="L166" s="605"/>
      <c r="M166" s="597">
        <v>20</v>
      </c>
      <c r="N166" s="590">
        <f>21196+798+28*M166</f>
        <v>22554</v>
      </c>
      <c r="O166" s="591" t="s">
        <v>106</v>
      </c>
      <c r="P166" s="601">
        <f>21196+1806+28*M166</f>
        <v>23562</v>
      </c>
      <c r="Q166" s="178"/>
      <c r="R166" s="203"/>
      <c r="S166" s="203"/>
      <c r="T166" s="204"/>
      <c r="U166" s="178"/>
      <c r="V166" s="186"/>
      <c r="W166" s="186"/>
      <c r="X166" s="181"/>
      <c r="Y166" s="615"/>
    </row>
    <row r="167" spans="1:25" x14ac:dyDescent="0.25">
      <c r="A167" s="597">
        <f t="shared" si="11"/>
        <v>159</v>
      </c>
      <c r="B167" s="590">
        <f t="shared" si="8"/>
        <v>22557.5</v>
      </c>
      <c r="C167" s="590" t="str">
        <f t="shared" si="10"/>
        <v>/</v>
      </c>
      <c r="D167" s="601">
        <f t="shared" si="9"/>
        <v>23565.5</v>
      </c>
      <c r="E167" s="597">
        <f>E165+1</f>
        <v>79</v>
      </c>
      <c r="F167" s="590">
        <f>21196+808.5+7*E167</f>
        <v>22557.5</v>
      </c>
      <c r="G167" s="591" t="s">
        <v>106</v>
      </c>
      <c r="H167" s="601">
        <f>21196+1816.5+7*E167</f>
        <v>23565.5</v>
      </c>
      <c r="I167" s="597"/>
      <c r="J167" s="590"/>
      <c r="K167" s="590"/>
      <c r="L167" s="605"/>
      <c r="M167" s="597"/>
      <c r="N167" s="590"/>
      <c r="O167" s="590"/>
      <c r="P167" s="605"/>
      <c r="Q167" s="597"/>
      <c r="R167" s="205"/>
      <c r="S167" s="205"/>
      <c r="T167" s="206"/>
      <c r="U167" s="178"/>
      <c r="V167" s="186"/>
      <c r="W167" s="186"/>
      <c r="X167" s="181"/>
      <c r="Y167" s="614"/>
    </row>
    <row r="168" spans="1:25" x14ac:dyDescent="0.25">
      <c r="A168" s="597">
        <f t="shared" si="11"/>
        <v>160</v>
      </c>
      <c r="B168" s="590">
        <f t="shared" si="8"/>
        <v>22561</v>
      </c>
      <c r="C168" s="590" t="str">
        <f t="shared" si="10"/>
        <v>/</v>
      </c>
      <c r="D168" s="601">
        <f t="shared" si="9"/>
        <v>23569</v>
      </c>
      <c r="E168" s="597"/>
      <c r="F168" s="590"/>
      <c r="G168" s="591"/>
      <c r="H168" s="605"/>
      <c r="I168" s="597">
        <f>I164+1</f>
        <v>40</v>
      </c>
      <c r="J168" s="590">
        <f>21196+805+14*I168</f>
        <v>22561</v>
      </c>
      <c r="K168" s="591" t="s">
        <v>106</v>
      </c>
      <c r="L168" s="601">
        <f>21196+1813+14*I168</f>
        <v>23569</v>
      </c>
      <c r="M168" s="597"/>
      <c r="N168" s="590"/>
      <c r="O168" s="590"/>
      <c r="P168" s="605"/>
      <c r="Q168" s="597"/>
      <c r="R168" s="207"/>
      <c r="S168" s="207"/>
      <c r="T168" s="208"/>
      <c r="U168" s="178"/>
      <c r="V168" s="186"/>
      <c r="W168" s="186"/>
      <c r="X168" s="181"/>
      <c r="Y168" s="614"/>
    </row>
    <row r="169" spans="1:25" x14ac:dyDescent="0.25">
      <c r="A169" s="597">
        <f t="shared" si="11"/>
        <v>161</v>
      </c>
      <c r="B169" s="590">
        <f t="shared" si="8"/>
        <v>22564.5</v>
      </c>
      <c r="C169" s="590" t="str">
        <f t="shared" si="10"/>
        <v>/</v>
      </c>
      <c r="D169" s="601">
        <f t="shared" si="9"/>
        <v>23572.5</v>
      </c>
      <c r="E169" s="597">
        <f>E167+1</f>
        <v>80</v>
      </c>
      <c r="F169" s="590">
        <f>21196+808.5+7*E169</f>
        <v>22564.5</v>
      </c>
      <c r="G169" s="591" t="s">
        <v>106</v>
      </c>
      <c r="H169" s="601">
        <f>21196+1816.5+7*E169</f>
        <v>23572.5</v>
      </c>
      <c r="I169" s="597"/>
      <c r="J169" s="590"/>
      <c r="K169" s="590"/>
      <c r="L169" s="605"/>
      <c r="M169" s="597"/>
      <c r="N169" s="590"/>
      <c r="O169" s="590"/>
      <c r="P169" s="605"/>
      <c r="Q169" s="178"/>
      <c r="R169" s="179"/>
      <c r="S169" s="179"/>
      <c r="T169" s="208"/>
      <c r="U169" s="178"/>
      <c r="V169" s="186"/>
      <c r="W169" s="186"/>
      <c r="X169" s="181"/>
      <c r="Y169" s="614"/>
    </row>
    <row r="170" spans="1:25" ht="15.75" thickBot="1" x14ac:dyDescent="0.3">
      <c r="A170" s="597">
        <f t="shared" si="11"/>
        <v>162</v>
      </c>
      <c r="B170" s="190">
        <f t="shared" si="8"/>
        <v>22568</v>
      </c>
      <c r="C170" s="190" t="str">
        <f t="shared" si="10"/>
        <v>/</v>
      </c>
      <c r="D170" s="191">
        <f t="shared" si="9"/>
        <v>23576</v>
      </c>
      <c r="E170" s="192"/>
      <c r="F170" s="190"/>
      <c r="G170" s="193"/>
      <c r="H170" s="194"/>
      <c r="I170" s="192"/>
      <c r="J170" s="190"/>
      <c r="K170" s="190"/>
      <c r="L170" s="194"/>
      <c r="M170" s="192"/>
      <c r="N170" s="209"/>
      <c r="O170" s="209"/>
      <c r="P170" s="210"/>
      <c r="Q170" s="178"/>
      <c r="R170" s="179"/>
      <c r="S170" s="179"/>
      <c r="T170" s="180"/>
      <c r="U170" s="178"/>
      <c r="V170" s="186"/>
      <c r="W170" s="186"/>
      <c r="X170" s="181"/>
      <c r="Y170" s="598"/>
    </row>
    <row r="171" spans="1:25" x14ac:dyDescent="0.25">
      <c r="A171" s="597">
        <f t="shared" si="11"/>
        <v>163</v>
      </c>
      <c r="B171" s="590">
        <f t="shared" si="8"/>
        <v>22571.5</v>
      </c>
      <c r="C171" s="590" t="str">
        <f t="shared" si="10"/>
        <v>/</v>
      </c>
      <c r="D171" s="601">
        <f t="shared" si="9"/>
        <v>23579.5</v>
      </c>
      <c r="E171" s="597">
        <f>E169+1</f>
        <v>81</v>
      </c>
      <c r="F171" s="590">
        <f>21196+808.5+7*E171</f>
        <v>22571.5</v>
      </c>
      <c r="G171" s="591" t="s">
        <v>106</v>
      </c>
      <c r="H171" s="601">
        <f>21196+1816.5+7*E171</f>
        <v>23579.5</v>
      </c>
      <c r="I171" s="178"/>
      <c r="J171" s="38"/>
      <c r="K171" s="38"/>
      <c r="L171" s="181"/>
      <c r="M171" s="178"/>
      <c r="N171" s="174"/>
      <c r="O171" s="174"/>
      <c r="P171" s="175"/>
      <c r="Q171" s="178"/>
      <c r="R171" s="179"/>
      <c r="S171" s="179"/>
      <c r="T171" s="180"/>
      <c r="U171" s="178"/>
      <c r="V171" s="186"/>
      <c r="W171" s="186"/>
      <c r="X171" s="181"/>
      <c r="Y171" s="187"/>
    </row>
    <row r="172" spans="1:25" x14ac:dyDescent="0.25">
      <c r="A172" s="597">
        <f t="shared" si="11"/>
        <v>164</v>
      </c>
      <c r="B172" s="590">
        <f t="shared" si="8"/>
        <v>22575</v>
      </c>
      <c r="C172" s="590" t="str">
        <f t="shared" si="10"/>
        <v>/</v>
      </c>
      <c r="D172" s="601">
        <f t="shared" si="9"/>
        <v>23583</v>
      </c>
      <c r="E172" s="597"/>
      <c r="F172" s="590"/>
      <c r="G172" s="591"/>
      <c r="H172" s="605"/>
      <c r="I172" s="597">
        <f>I168+1</f>
        <v>41</v>
      </c>
      <c r="J172" s="590">
        <f>21196+805+14*I172</f>
        <v>22575</v>
      </c>
      <c r="K172" s="591" t="s">
        <v>106</v>
      </c>
      <c r="L172" s="601">
        <f>21196+1813+14*I172</f>
        <v>23583</v>
      </c>
      <c r="M172" s="178"/>
      <c r="N172" s="30"/>
      <c r="O172" s="30"/>
      <c r="P172" s="180"/>
      <c r="Q172" s="178"/>
      <c r="R172" s="179"/>
      <c r="S172" s="179"/>
      <c r="T172" s="180"/>
      <c r="U172" s="178"/>
      <c r="V172" s="186"/>
      <c r="W172" s="186"/>
      <c r="X172" s="181"/>
      <c r="Y172" s="187"/>
    </row>
    <row r="173" spans="1:25" x14ac:dyDescent="0.25">
      <c r="A173" s="597">
        <f t="shared" si="11"/>
        <v>165</v>
      </c>
      <c r="B173" s="590">
        <f t="shared" si="8"/>
        <v>22578.5</v>
      </c>
      <c r="C173" s="590" t="str">
        <f t="shared" si="10"/>
        <v>/</v>
      </c>
      <c r="D173" s="601">
        <f t="shared" si="9"/>
        <v>23586.5</v>
      </c>
      <c r="E173" s="597">
        <f>E171+1</f>
        <v>82</v>
      </c>
      <c r="F173" s="590">
        <f>21196+808.5+7*E173</f>
        <v>22578.5</v>
      </c>
      <c r="G173" s="591" t="s">
        <v>106</v>
      </c>
      <c r="H173" s="601">
        <f>21196+1816.5+7*E173</f>
        <v>23586.5</v>
      </c>
      <c r="I173" s="178"/>
      <c r="J173" s="38"/>
      <c r="K173" s="38"/>
      <c r="L173" s="181"/>
      <c r="M173" s="178"/>
      <c r="N173" s="30"/>
      <c r="O173" s="30"/>
      <c r="P173" s="180"/>
      <c r="Q173" s="178"/>
      <c r="R173" s="179"/>
      <c r="S173" s="179"/>
      <c r="T173" s="180"/>
      <c r="U173" s="178"/>
      <c r="V173" s="186"/>
      <c r="W173" s="186"/>
      <c r="X173" s="181"/>
      <c r="Y173" s="187"/>
    </row>
    <row r="174" spans="1:25" ht="15.75" thickBot="1" x14ac:dyDescent="0.3">
      <c r="A174" s="597">
        <f t="shared" si="11"/>
        <v>166</v>
      </c>
      <c r="B174" s="590">
        <f t="shared" si="8"/>
        <v>22582</v>
      </c>
      <c r="C174" s="590" t="str">
        <f t="shared" si="10"/>
        <v>/</v>
      </c>
      <c r="D174" s="601">
        <f t="shared" si="9"/>
        <v>23590</v>
      </c>
      <c r="E174" s="597"/>
      <c r="F174" s="590"/>
      <c r="G174" s="591"/>
      <c r="H174" s="605"/>
      <c r="I174" s="178"/>
      <c r="J174" s="211"/>
      <c r="K174" s="211"/>
      <c r="L174" s="204"/>
      <c r="M174" s="178"/>
      <c r="N174" s="30"/>
      <c r="O174" s="30"/>
      <c r="P174" s="180"/>
      <c r="Q174" s="178"/>
      <c r="R174" s="179"/>
      <c r="S174" s="179"/>
      <c r="T174" s="180"/>
      <c r="U174" s="178"/>
      <c r="V174" s="203"/>
      <c r="W174" s="203"/>
      <c r="X174" s="204"/>
      <c r="Y174" s="187"/>
    </row>
    <row r="175" spans="1:25" x14ac:dyDescent="0.25">
      <c r="A175" s="597">
        <f t="shared" si="11"/>
        <v>167</v>
      </c>
      <c r="B175" s="590">
        <f t="shared" si="8"/>
        <v>22585.5</v>
      </c>
      <c r="C175" s="590" t="str">
        <f t="shared" si="10"/>
        <v>/</v>
      </c>
      <c r="D175" s="601">
        <f t="shared" si="9"/>
        <v>23593.5</v>
      </c>
      <c r="E175" s="597">
        <f>E173+1</f>
        <v>83</v>
      </c>
      <c r="F175" s="590">
        <f>21196+808.5+7*E175</f>
        <v>22585.5</v>
      </c>
      <c r="G175" s="591" t="s">
        <v>106</v>
      </c>
      <c r="H175" s="601">
        <f>21196+1816.5+7*E175</f>
        <v>23593.5</v>
      </c>
      <c r="I175" s="178"/>
      <c r="J175" s="174"/>
      <c r="K175" s="174"/>
      <c r="L175" s="175"/>
      <c r="M175" s="178"/>
      <c r="N175" s="30"/>
      <c r="O175" s="30"/>
      <c r="P175" s="180"/>
      <c r="Q175" s="178"/>
      <c r="R175" s="179"/>
      <c r="S175" s="179"/>
      <c r="T175" s="180"/>
      <c r="U175" s="178"/>
      <c r="V175" s="176"/>
      <c r="W175" s="176"/>
      <c r="X175" s="175"/>
      <c r="Y175" s="187"/>
    </row>
    <row r="176" spans="1:25" ht="15.75" thickBot="1" x14ac:dyDescent="0.3">
      <c r="A176" s="597">
        <f t="shared" si="11"/>
        <v>168</v>
      </c>
      <c r="B176" s="590">
        <f t="shared" si="8"/>
        <v>22589</v>
      </c>
      <c r="C176" s="590" t="str">
        <f t="shared" si="10"/>
        <v>/</v>
      </c>
      <c r="D176" s="601">
        <f t="shared" si="9"/>
        <v>23597</v>
      </c>
      <c r="E176" s="178"/>
      <c r="F176" s="212"/>
      <c r="G176" s="211"/>
      <c r="H176" s="204"/>
      <c r="I176" s="178"/>
      <c r="J176" s="30"/>
      <c r="K176" s="30"/>
      <c r="L176" s="180"/>
      <c r="M176" s="178"/>
      <c r="N176" s="30"/>
      <c r="O176" s="30"/>
      <c r="P176" s="180"/>
      <c r="Q176" s="178"/>
      <c r="R176" s="179"/>
      <c r="S176" s="179"/>
      <c r="T176" s="180"/>
      <c r="U176" s="178"/>
      <c r="V176" s="179"/>
      <c r="W176" s="179"/>
      <c r="X176" s="180"/>
      <c r="Y176" s="187"/>
    </row>
    <row r="177" spans="1:25" ht="15.75" thickBot="1" x14ac:dyDescent="0.3">
      <c r="A177" s="198"/>
      <c r="B177" s="213">
        <v>22590.75</v>
      </c>
      <c r="C177" s="213"/>
      <c r="D177" s="214">
        <v>23598.75</v>
      </c>
      <c r="E177" s="198"/>
      <c r="F177" s="164"/>
      <c r="G177" s="167"/>
      <c r="H177" s="173"/>
      <c r="I177" s="198"/>
      <c r="J177" s="215"/>
      <c r="K177" s="215"/>
      <c r="L177" s="216"/>
      <c r="M177" s="198"/>
      <c r="N177" s="215"/>
      <c r="O177" s="215"/>
      <c r="P177" s="216"/>
      <c r="Q177" s="198"/>
      <c r="R177" s="182"/>
      <c r="S177" s="182"/>
      <c r="T177" s="216"/>
      <c r="U177" s="198"/>
      <c r="V177" s="182"/>
      <c r="W177" s="182"/>
      <c r="X177" s="216"/>
      <c r="Y177" s="217"/>
    </row>
    <row r="178" spans="1:25" ht="15.75" thickBot="1" x14ac:dyDescent="0.3">
      <c r="A178" s="221"/>
      <c r="B178" s="218">
        <v>22600</v>
      </c>
      <c r="C178" s="219"/>
      <c r="D178" s="220">
        <v>23600</v>
      </c>
      <c r="E178" s="221"/>
      <c r="F178" s="222">
        <v>22600</v>
      </c>
      <c r="G178" s="223"/>
      <c r="H178" s="224">
        <v>23600</v>
      </c>
      <c r="I178" s="221"/>
      <c r="J178" s="222">
        <v>22600</v>
      </c>
      <c r="K178" s="225"/>
      <c r="L178" s="224">
        <v>23600</v>
      </c>
      <c r="M178" s="221"/>
      <c r="N178" s="222">
        <v>22600</v>
      </c>
      <c r="O178" s="225"/>
      <c r="P178" s="224">
        <v>23600</v>
      </c>
      <c r="Q178" s="221"/>
      <c r="R178" s="222">
        <v>22600</v>
      </c>
      <c r="S178" s="226"/>
      <c r="T178" s="224">
        <v>23600</v>
      </c>
      <c r="U178" s="221"/>
      <c r="V178" s="222">
        <v>22600</v>
      </c>
      <c r="W178" s="226"/>
      <c r="X178" s="224">
        <v>23600</v>
      </c>
      <c r="Y178" s="227"/>
    </row>
    <row r="179" spans="1:25" ht="15.75" thickTop="1" x14ac:dyDescent="0.25">
      <c r="A179" s="775"/>
      <c r="B179" s="11"/>
      <c r="C179" s="11"/>
      <c r="D179" s="11"/>
      <c r="E179" s="229"/>
      <c r="F179" s="11"/>
      <c r="G179" s="229"/>
      <c r="H179" s="230"/>
      <c r="I179" s="229"/>
      <c r="J179" s="11"/>
      <c r="K179" s="11"/>
      <c r="L179" s="230"/>
      <c r="M179" s="229"/>
      <c r="N179" s="11"/>
      <c r="O179" s="11"/>
      <c r="P179" s="230"/>
      <c r="Q179" s="229"/>
      <c r="R179" s="230"/>
      <c r="S179" s="230"/>
      <c r="T179" s="230"/>
      <c r="U179" s="229"/>
      <c r="V179" s="230"/>
      <c r="W179" s="230"/>
      <c r="X179" s="230"/>
      <c r="Y179" s="11"/>
    </row>
    <row r="180" spans="1:25" x14ac:dyDescent="0.25">
      <c r="A180" s="776"/>
      <c r="E180" s="3"/>
      <c r="G180" s="3"/>
      <c r="H180" s="7"/>
      <c r="I180" s="3"/>
      <c r="L180" s="7"/>
      <c r="M180" s="3"/>
      <c r="P180" s="7"/>
      <c r="Q180" s="3"/>
      <c r="R180" s="7"/>
      <c r="S180" s="7"/>
      <c r="T180" s="7"/>
      <c r="V180" s="7"/>
      <c r="W180" s="7"/>
      <c r="X180" s="7"/>
    </row>
    <row r="181" spans="1:25" x14ac:dyDescent="0.25">
      <c r="A181" s="776"/>
      <c r="E181" s="3"/>
      <c r="G181" s="3"/>
      <c r="H181" s="7"/>
      <c r="I181" s="3"/>
      <c r="L181" s="7"/>
      <c r="M181" s="3"/>
      <c r="P181" s="7"/>
      <c r="Q181" s="3"/>
      <c r="R181" s="7"/>
      <c r="S181" s="7"/>
      <c r="T181" s="7"/>
      <c r="V181" s="7"/>
      <c r="W181" s="7"/>
      <c r="X181" s="7"/>
    </row>
    <row r="182" spans="1:25" x14ac:dyDescent="0.25">
      <c r="A182" s="776"/>
      <c r="E182" s="3"/>
      <c r="G182" s="3"/>
      <c r="H182" s="7"/>
      <c r="I182" s="3"/>
      <c r="L182" s="7"/>
      <c r="M182" s="3"/>
      <c r="P182" s="7"/>
      <c r="Q182" s="3"/>
      <c r="R182" s="7"/>
      <c r="S182" s="7"/>
      <c r="T182" s="7"/>
      <c r="V182" s="7"/>
      <c r="W182" s="7"/>
      <c r="X182" s="7"/>
    </row>
    <row r="183" spans="1:25" x14ac:dyDescent="0.25">
      <c r="A183" s="172"/>
      <c r="E183" s="3"/>
      <c r="G183" s="3"/>
      <c r="H183" s="7"/>
      <c r="I183" s="3"/>
      <c r="L183" s="7"/>
      <c r="M183" s="3"/>
      <c r="P183" s="7"/>
      <c r="Q183" s="3"/>
      <c r="R183" s="7"/>
      <c r="S183" s="7"/>
      <c r="T183" s="7"/>
      <c r="V183" s="7"/>
      <c r="W183" s="7"/>
      <c r="X183" s="7"/>
    </row>
    <row r="184" spans="1:25" x14ac:dyDescent="0.25">
      <c r="A184" s="178"/>
      <c r="E184" s="3"/>
      <c r="G184" s="3"/>
      <c r="H184" s="7"/>
      <c r="I184" s="3"/>
      <c r="L184" s="7"/>
      <c r="M184" s="3"/>
      <c r="P184" s="7"/>
      <c r="Q184" s="3"/>
      <c r="R184" s="7"/>
      <c r="S184" s="7"/>
      <c r="T184" s="7"/>
      <c r="V184" s="7"/>
      <c r="W184" s="7"/>
      <c r="X184" s="7"/>
    </row>
    <row r="185" spans="1:25" x14ac:dyDescent="0.25">
      <c r="A185" s="178"/>
      <c r="E185" s="3"/>
      <c r="G185" s="3"/>
      <c r="H185" s="7"/>
      <c r="I185" s="3"/>
      <c r="L185" s="7"/>
      <c r="M185" s="3"/>
      <c r="P185" s="7"/>
      <c r="Q185" s="3"/>
      <c r="R185" s="7"/>
      <c r="S185" s="7"/>
      <c r="T185" s="7"/>
      <c r="V185" s="7"/>
      <c r="W185" s="7"/>
      <c r="X185" s="7"/>
    </row>
    <row r="186" spans="1:25" x14ac:dyDescent="0.25">
      <c r="A186" s="178"/>
      <c r="E186" s="3"/>
      <c r="G186" s="3"/>
      <c r="H186" s="7"/>
      <c r="I186" s="3"/>
      <c r="L186" s="7"/>
      <c r="M186" s="3"/>
      <c r="P186" s="7"/>
      <c r="Q186" s="3"/>
      <c r="R186" s="7"/>
      <c r="S186" s="7"/>
      <c r="T186" s="7"/>
      <c r="V186" s="7"/>
      <c r="W186" s="7"/>
      <c r="X186" s="7"/>
    </row>
    <row r="187" spans="1:25" x14ac:dyDescent="0.25">
      <c r="A187" s="178"/>
      <c r="E187" s="3"/>
      <c r="G187" s="3"/>
      <c r="H187" s="7"/>
      <c r="I187" s="3"/>
      <c r="L187" s="7"/>
      <c r="M187" s="3"/>
      <c r="P187" s="7"/>
      <c r="Q187" s="3"/>
      <c r="R187" s="7"/>
      <c r="S187" s="7"/>
      <c r="T187" s="7"/>
      <c r="V187" s="7"/>
      <c r="W187" s="7"/>
      <c r="X187" s="7"/>
    </row>
    <row r="188" spans="1:25" x14ac:dyDescent="0.25">
      <c r="A188" s="178"/>
      <c r="E188" s="3"/>
      <c r="G188" s="3"/>
      <c r="H188" s="7"/>
      <c r="I188" s="3"/>
      <c r="L188" s="7"/>
      <c r="M188" s="3"/>
      <c r="P188" s="7"/>
      <c r="Q188" s="3"/>
      <c r="R188" s="7"/>
      <c r="S188" s="7"/>
      <c r="T188" s="7"/>
      <c r="V188" s="7"/>
      <c r="W188" s="7"/>
      <c r="X188" s="7"/>
    </row>
    <row r="189" spans="1:25" x14ac:dyDescent="0.25">
      <c r="A189" s="178"/>
      <c r="E189" s="3"/>
      <c r="G189" s="3"/>
      <c r="H189" s="7"/>
      <c r="I189" s="3"/>
      <c r="L189" s="7"/>
      <c r="M189" s="3"/>
      <c r="P189" s="7"/>
      <c r="Q189" s="3"/>
      <c r="R189" s="7"/>
      <c r="S189" s="7"/>
      <c r="T189" s="7"/>
      <c r="V189" s="7"/>
      <c r="W189" s="7"/>
      <c r="X189" s="7"/>
    </row>
    <row r="190" spans="1:25" x14ac:dyDescent="0.25">
      <c r="A190" s="178"/>
      <c r="E190" s="3"/>
      <c r="G190" s="3"/>
      <c r="H190" s="7"/>
      <c r="I190" s="3"/>
      <c r="L190" s="7"/>
      <c r="M190" s="3"/>
      <c r="P190" s="7"/>
      <c r="Q190" s="3"/>
      <c r="R190" s="7"/>
      <c r="S190" s="7"/>
      <c r="T190" s="7"/>
      <c r="V190" s="7"/>
      <c r="W190" s="7"/>
      <c r="X190" s="7"/>
    </row>
    <row r="191" spans="1:25" x14ac:dyDescent="0.25">
      <c r="A191" s="178"/>
      <c r="E191" s="3"/>
      <c r="G191" s="3"/>
      <c r="H191" s="7"/>
      <c r="I191" s="3"/>
      <c r="L191" s="7"/>
      <c r="M191" s="3"/>
      <c r="P191" s="7"/>
      <c r="Q191" s="3"/>
      <c r="R191" s="7"/>
      <c r="S191" s="7"/>
      <c r="T191" s="7"/>
      <c r="V191" s="7"/>
      <c r="W191" s="7"/>
      <c r="X191" s="7"/>
    </row>
    <row r="192" spans="1:25" x14ac:dyDescent="0.25">
      <c r="A192" s="178"/>
      <c r="E192" s="3"/>
      <c r="G192" s="3"/>
      <c r="H192" s="7"/>
      <c r="I192" s="3"/>
      <c r="L192" s="7"/>
      <c r="M192" s="3"/>
      <c r="P192" s="7"/>
      <c r="Q192" s="3"/>
      <c r="R192" s="7"/>
      <c r="S192" s="7"/>
      <c r="T192" s="7"/>
      <c r="V192" s="7"/>
      <c r="W192" s="7"/>
      <c r="X192" s="7"/>
    </row>
    <row r="193" spans="1:24" x14ac:dyDescent="0.25">
      <c r="A193" s="178"/>
      <c r="E193" s="3"/>
      <c r="G193" s="3"/>
      <c r="H193" s="7"/>
      <c r="I193" s="3"/>
      <c r="L193" s="7"/>
      <c r="M193" s="3"/>
      <c r="P193" s="7"/>
      <c r="Q193" s="3"/>
      <c r="R193" s="7"/>
      <c r="S193" s="7"/>
      <c r="T193" s="7"/>
      <c r="V193" s="7"/>
      <c r="W193" s="7"/>
      <c r="X193" s="7"/>
    </row>
    <row r="194" spans="1:24" x14ac:dyDescent="0.25">
      <c r="A194" s="178"/>
      <c r="E194" s="3"/>
      <c r="G194" s="3"/>
      <c r="H194" s="7"/>
      <c r="I194" s="3"/>
      <c r="L194" s="7"/>
      <c r="M194" s="3"/>
      <c r="P194" s="7"/>
      <c r="Q194" s="3"/>
      <c r="R194" s="7"/>
      <c r="S194" s="7"/>
      <c r="T194" s="7"/>
      <c r="V194" s="7"/>
      <c r="W194" s="7"/>
      <c r="X194" s="7"/>
    </row>
    <row r="195" spans="1:24" x14ac:dyDescent="0.25">
      <c r="A195" s="178"/>
      <c r="E195" s="3"/>
      <c r="G195" s="3"/>
      <c r="H195" s="7"/>
      <c r="I195" s="3"/>
      <c r="L195" s="7"/>
      <c r="M195" s="3"/>
      <c r="P195" s="7"/>
      <c r="Q195" s="3"/>
      <c r="R195" s="7"/>
      <c r="S195" s="7"/>
      <c r="T195" s="7"/>
      <c r="V195" s="7"/>
      <c r="W195" s="7"/>
      <c r="X195" s="7"/>
    </row>
    <row r="196" spans="1:24" x14ac:dyDescent="0.25">
      <c r="A196" s="178"/>
      <c r="E196" s="3"/>
      <c r="G196" s="3"/>
      <c r="H196" s="7"/>
      <c r="I196" s="3"/>
      <c r="L196" s="7"/>
      <c r="M196" s="3"/>
      <c r="P196" s="7"/>
      <c r="Q196" s="3"/>
      <c r="R196" s="7"/>
      <c r="S196" s="7"/>
      <c r="T196" s="7"/>
      <c r="V196" s="7"/>
      <c r="W196" s="7"/>
      <c r="X196" s="7"/>
    </row>
    <row r="197" spans="1:24" x14ac:dyDescent="0.25">
      <c r="A197" s="178"/>
      <c r="E197" s="3"/>
      <c r="G197" s="3"/>
      <c r="H197" s="7"/>
      <c r="I197" s="3"/>
      <c r="L197" s="7"/>
      <c r="M197" s="3"/>
      <c r="P197" s="7"/>
      <c r="Q197" s="3"/>
      <c r="R197" s="7"/>
      <c r="S197" s="7"/>
      <c r="T197" s="7"/>
      <c r="V197" s="7"/>
      <c r="W197" s="7"/>
      <c r="X197" s="7"/>
    </row>
    <row r="198" spans="1:24" x14ac:dyDescent="0.25">
      <c r="A198" s="178"/>
      <c r="E198" s="3"/>
      <c r="G198" s="3"/>
      <c r="H198" s="7"/>
      <c r="I198" s="3"/>
      <c r="L198" s="7"/>
      <c r="M198" s="3"/>
      <c r="P198" s="7"/>
      <c r="Q198" s="3"/>
      <c r="R198" s="7"/>
      <c r="S198" s="7"/>
      <c r="T198" s="7"/>
      <c r="V198" s="7"/>
      <c r="W198" s="7"/>
      <c r="X198" s="7"/>
    </row>
    <row r="199" spans="1:24" x14ac:dyDescent="0.25">
      <c r="A199" s="178"/>
      <c r="E199" s="3"/>
      <c r="G199" s="3"/>
      <c r="H199" s="7"/>
      <c r="I199" s="3"/>
      <c r="L199" s="7"/>
      <c r="M199" s="3"/>
      <c r="P199" s="7"/>
      <c r="Q199" s="3"/>
      <c r="R199" s="7"/>
      <c r="S199" s="7"/>
      <c r="T199" s="7"/>
      <c r="V199" s="7"/>
      <c r="W199" s="7"/>
      <c r="X199" s="7"/>
    </row>
    <row r="200" spans="1:24" x14ac:dyDescent="0.25">
      <c r="A200" s="178"/>
      <c r="E200" s="3"/>
      <c r="G200" s="3"/>
      <c r="H200" s="7"/>
      <c r="I200" s="3"/>
      <c r="L200" s="7"/>
      <c r="M200" s="3"/>
      <c r="P200" s="7"/>
      <c r="Q200" s="3"/>
      <c r="R200" s="7"/>
      <c r="S200" s="7"/>
      <c r="T200" s="7"/>
      <c r="V200" s="7"/>
      <c r="W200" s="7"/>
      <c r="X200" s="7"/>
    </row>
    <row r="201" spans="1:24" x14ac:dyDescent="0.25">
      <c r="A201" s="178"/>
      <c r="E201" s="3"/>
      <c r="G201" s="3"/>
      <c r="H201" s="7"/>
      <c r="I201" s="3"/>
      <c r="L201" s="7"/>
      <c r="M201" s="3"/>
      <c r="P201" s="7"/>
      <c r="Q201" s="3"/>
      <c r="R201" s="7"/>
      <c r="S201" s="7"/>
      <c r="T201" s="7"/>
      <c r="V201" s="7"/>
      <c r="W201" s="7"/>
      <c r="X201" s="7"/>
    </row>
    <row r="202" spans="1:24" x14ac:dyDescent="0.25">
      <c r="A202" s="178"/>
      <c r="E202" s="3"/>
      <c r="G202" s="3"/>
      <c r="H202" s="7"/>
      <c r="I202" s="3"/>
      <c r="L202" s="7"/>
      <c r="M202" s="3"/>
      <c r="P202" s="7"/>
      <c r="Q202" s="3"/>
      <c r="R202" s="7"/>
      <c r="S202" s="7"/>
      <c r="T202" s="7"/>
      <c r="V202" s="7"/>
      <c r="W202" s="7"/>
      <c r="X202" s="7"/>
    </row>
    <row r="203" spans="1:24" x14ac:dyDescent="0.25">
      <c r="A203" s="178"/>
      <c r="E203" s="3"/>
      <c r="G203" s="3"/>
      <c r="H203" s="7"/>
      <c r="I203" s="3"/>
      <c r="L203" s="7"/>
      <c r="M203" s="3"/>
      <c r="P203" s="7"/>
      <c r="Q203" s="3"/>
      <c r="R203" s="7"/>
      <c r="S203" s="7"/>
      <c r="T203" s="7"/>
      <c r="V203" s="7"/>
      <c r="W203" s="7"/>
      <c r="X203" s="7"/>
    </row>
    <row r="204" spans="1:24" x14ac:dyDescent="0.25">
      <c r="A204" s="178"/>
      <c r="E204" s="3"/>
      <c r="G204" s="3"/>
      <c r="H204" s="7"/>
      <c r="I204" s="3"/>
      <c r="L204" s="7"/>
      <c r="M204" s="3"/>
      <c r="P204" s="7"/>
      <c r="Q204" s="3"/>
      <c r="R204" s="7"/>
      <c r="S204" s="7"/>
      <c r="T204" s="7"/>
      <c r="V204" s="7"/>
      <c r="W204" s="7"/>
      <c r="X204" s="7"/>
    </row>
    <row r="205" spans="1:24" x14ac:dyDescent="0.25">
      <c r="A205" s="178"/>
      <c r="E205" s="3"/>
      <c r="G205" s="3"/>
      <c r="H205" s="7"/>
      <c r="I205" s="3"/>
      <c r="L205" s="7"/>
      <c r="M205" s="3"/>
      <c r="P205" s="7"/>
      <c r="Q205" s="3"/>
      <c r="R205" s="7"/>
      <c r="S205" s="7"/>
      <c r="T205" s="7"/>
      <c r="V205" s="7"/>
      <c r="W205" s="7"/>
      <c r="X205" s="7"/>
    </row>
    <row r="206" spans="1:24" x14ac:dyDescent="0.25">
      <c r="A206" s="178"/>
      <c r="E206" s="3"/>
      <c r="G206" s="3"/>
      <c r="H206" s="7"/>
      <c r="I206" s="3"/>
      <c r="L206" s="7"/>
      <c r="M206" s="3"/>
      <c r="P206" s="7"/>
      <c r="Q206" s="3"/>
      <c r="R206" s="7"/>
      <c r="S206" s="7"/>
      <c r="T206" s="7"/>
      <c r="V206" s="7"/>
      <c r="W206" s="7"/>
      <c r="X206" s="7"/>
    </row>
    <row r="207" spans="1:24" x14ac:dyDescent="0.25">
      <c r="A207" s="178"/>
      <c r="E207" s="3"/>
      <c r="G207" s="3"/>
      <c r="H207" s="7"/>
      <c r="I207" s="3"/>
      <c r="L207" s="7"/>
      <c r="M207" s="3"/>
      <c r="P207" s="7"/>
      <c r="Q207" s="3"/>
      <c r="R207" s="7"/>
      <c r="S207" s="7"/>
      <c r="T207" s="7"/>
      <c r="V207" s="7"/>
      <c r="W207" s="7"/>
      <c r="X207" s="7"/>
    </row>
    <row r="208" spans="1:24" x14ac:dyDescent="0.25">
      <c r="A208" s="178"/>
      <c r="E208" s="3"/>
      <c r="G208" s="3"/>
      <c r="H208" s="7"/>
      <c r="I208" s="3"/>
      <c r="L208" s="7"/>
      <c r="M208" s="3"/>
      <c r="P208" s="7"/>
      <c r="Q208" s="3"/>
      <c r="R208" s="7"/>
      <c r="S208" s="7"/>
      <c r="T208" s="7"/>
      <c r="V208" s="7"/>
      <c r="W208" s="7"/>
      <c r="X208" s="7"/>
    </row>
    <row r="209" spans="1:24" x14ac:dyDescent="0.25">
      <c r="A209" s="178"/>
      <c r="E209" s="3"/>
      <c r="G209" s="3"/>
      <c r="H209" s="7"/>
      <c r="I209" s="3"/>
      <c r="L209" s="7"/>
      <c r="M209" s="3"/>
      <c r="P209" s="7"/>
      <c r="Q209" s="3"/>
      <c r="R209" s="7"/>
      <c r="S209" s="7"/>
      <c r="T209" s="7"/>
      <c r="V209" s="7"/>
      <c r="W209" s="7"/>
      <c r="X209" s="7"/>
    </row>
    <row r="210" spans="1:24" x14ac:dyDescent="0.25">
      <c r="A210" s="178"/>
      <c r="E210" s="3"/>
      <c r="G210" s="3"/>
      <c r="H210" s="7"/>
      <c r="I210" s="3"/>
      <c r="L210" s="7"/>
      <c r="M210" s="3"/>
      <c r="P210" s="7"/>
      <c r="Q210" s="3"/>
      <c r="R210" s="7"/>
      <c r="S210" s="7"/>
      <c r="T210" s="7"/>
      <c r="V210" s="7"/>
      <c r="W210" s="7"/>
      <c r="X210" s="7"/>
    </row>
    <row r="211" spans="1:24" x14ac:dyDescent="0.25">
      <c r="A211" s="178"/>
      <c r="E211" s="3"/>
      <c r="G211" s="3"/>
      <c r="H211" s="7"/>
      <c r="I211" s="3"/>
      <c r="L211" s="7"/>
      <c r="M211" s="3"/>
      <c r="P211" s="7"/>
      <c r="Q211" s="3"/>
      <c r="R211" s="7"/>
      <c r="S211" s="7"/>
      <c r="T211" s="7"/>
      <c r="V211" s="7"/>
      <c r="W211" s="7"/>
      <c r="X211" s="7"/>
    </row>
    <row r="212" spans="1:24" x14ac:dyDescent="0.25">
      <c r="A212" s="178"/>
      <c r="E212" s="3"/>
      <c r="G212" s="3"/>
      <c r="H212" s="7"/>
      <c r="I212" s="3"/>
      <c r="L212" s="7"/>
      <c r="M212" s="3"/>
      <c r="P212" s="7"/>
      <c r="Q212" s="3"/>
      <c r="R212" s="7"/>
      <c r="S212" s="7"/>
      <c r="T212" s="7"/>
      <c r="V212" s="7"/>
      <c r="W212" s="7"/>
      <c r="X212" s="7"/>
    </row>
    <row r="213" spans="1:24" x14ac:dyDescent="0.25">
      <c r="E213" s="3"/>
      <c r="G213" s="3"/>
      <c r="H213" s="7"/>
      <c r="I213" s="3"/>
      <c r="L213" s="7"/>
      <c r="M213" s="3"/>
      <c r="P213" s="7"/>
      <c r="Q213" s="3"/>
      <c r="R213" s="7"/>
      <c r="S213" s="7"/>
      <c r="T213" s="7"/>
      <c r="V213" s="7"/>
      <c r="W213" s="7"/>
      <c r="X213" s="7"/>
    </row>
    <row r="214" spans="1:24" x14ac:dyDescent="0.25">
      <c r="E214" s="3"/>
      <c r="G214" s="3"/>
      <c r="H214" s="7"/>
      <c r="I214" s="3"/>
      <c r="L214" s="7"/>
      <c r="M214" s="3"/>
      <c r="P214" s="7"/>
      <c r="Q214" s="3"/>
      <c r="R214" s="7"/>
      <c r="S214" s="7"/>
      <c r="T214" s="7"/>
      <c r="V214" s="7"/>
      <c r="W214" s="7"/>
      <c r="X214" s="7"/>
    </row>
    <row r="215" spans="1:24" x14ac:dyDescent="0.25">
      <c r="E215" s="3"/>
      <c r="G215" s="3"/>
      <c r="H215" s="7"/>
      <c r="I215" s="3"/>
      <c r="L215" s="7"/>
      <c r="M215" s="3"/>
      <c r="P215" s="7"/>
      <c r="Q215" s="3"/>
      <c r="R215" s="7"/>
      <c r="S215" s="7"/>
      <c r="T215" s="7"/>
      <c r="V215" s="7"/>
      <c r="W215" s="7"/>
      <c r="X215" s="7"/>
    </row>
    <row r="216" spans="1:24" x14ac:dyDescent="0.25">
      <c r="E216" s="3"/>
      <c r="G216" s="3"/>
      <c r="H216" s="7"/>
      <c r="I216" s="3"/>
      <c r="L216" s="7"/>
      <c r="M216" s="3"/>
      <c r="P216" s="7"/>
      <c r="Q216" s="3"/>
      <c r="R216" s="7"/>
      <c r="S216" s="7"/>
      <c r="T216" s="7"/>
      <c r="V216" s="7"/>
      <c r="W216" s="7"/>
      <c r="X216" s="7"/>
    </row>
    <row r="217" spans="1:24" x14ac:dyDescent="0.25">
      <c r="E217" s="3"/>
      <c r="G217" s="3"/>
      <c r="H217" s="7"/>
      <c r="I217" s="3"/>
      <c r="L217" s="7"/>
      <c r="M217" s="3"/>
      <c r="P217" s="7"/>
      <c r="Q217" s="3"/>
      <c r="R217" s="7"/>
      <c r="S217" s="7"/>
      <c r="T217" s="7"/>
      <c r="V217" s="7"/>
      <c r="W217" s="7"/>
      <c r="X217" s="7"/>
    </row>
    <row r="218" spans="1:24" x14ac:dyDescent="0.25">
      <c r="E218" s="3"/>
      <c r="G218" s="3"/>
      <c r="H218" s="7"/>
      <c r="I218" s="3"/>
      <c r="L218" s="7"/>
      <c r="M218" s="3"/>
      <c r="P218" s="7"/>
      <c r="Q218" s="3"/>
      <c r="R218" s="7"/>
      <c r="S218" s="7"/>
      <c r="T218" s="7"/>
      <c r="V218" s="7"/>
      <c r="W218" s="7"/>
      <c r="X218" s="7"/>
    </row>
    <row r="219" spans="1:24" x14ac:dyDescent="0.25">
      <c r="E219" s="3"/>
      <c r="G219" s="3"/>
      <c r="H219" s="7"/>
      <c r="I219" s="3"/>
      <c r="L219" s="7"/>
      <c r="M219" s="3"/>
      <c r="P219" s="7"/>
      <c r="Q219" s="3"/>
      <c r="R219" s="7"/>
      <c r="S219" s="7"/>
      <c r="T219" s="7"/>
      <c r="V219" s="7"/>
      <c r="W219" s="7"/>
      <c r="X219" s="7"/>
    </row>
    <row r="220" spans="1:24" x14ac:dyDescent="0.25">
      <c r="E220" s="3"/>
      <c r="G220" s="3"/>
      <c r="H220" s="7"/>
      <c r="I220" s="3"/>
      <c r="L220" s="7"/>
      <c r="M220" s="3"/>
      <c r="P220" s="7"/>
      <c r="Q220" s="3"/>
      <c r="R220" s="7"/>
      <c r="S220" s="7"/>
      <c r="T220" s="7"/>
      <c r="V220" s="7"/>
      <c r="W220" s="7"/>
      <c r="X220" s="7"/>
    </row>
    <row r="221" spans="1:24" x14ac:dyDescent="0.25">
      <c r="E221" s="3"/>
      <c r="G221" s="3"/>
      <c r="H221" s="7"/>
      <c r="I221" s="3"/>
      <c r="L221" s="7"/>
      <c r="M221" s="3"/>
      <c r="P221" s="7"/>
      <c r="Q221" s="3"/>
      <c r="R221" s="7"/>
      <c r="S221" s="7"/>
      <c r="T221" s="7"/>
      <c r="V221" s="7"/>
      <c r="W221" s="7"/>
      <c r="X221" s="7"/>
    </row>
    <row r="222" spans="1:24" x14ac:dyDescent="0.25">
      <c r="E222" s="3"/>
      <c r="G222" s="3"/>
      <c r="H222" s="7"/>
      <c r="I222" s="3"/>
      <c r="L222" s="7"/>
      <c r="M222" s="3"/>
      <c r="P222" s="7"/>
      <c r="Q222" s="3"/>
      <c r="R222" s="7"/>
      <c r="S222" s="7"/>
      <c r="T222" s="7"/>
      <c r="V222" s="7"/>
      <c r="W222" s="7"/>
      <c r="X222" s="7"/>
    </row>
    <row r="223" spans="1:24" x14ac:dyDescent="0.25">
      <c r="E223" s="3"/>
      <c r="G223" s="3"/>
      <c r="H223" s="7"/>
      <c r="I223" s="3"/>
      <c r="L223" s="7"/>
      <c r="M223" s="3"/>
      <c r="P223" s="7"/>
      <c r="Q223" s="3"/>
      <c r="R223" s="7"/>
      <c r="S223" s="7"/>
      <c r="T223" s="7"/>
      <c r="V223" s="7"/>
      <c r="W223" s="7"/>
      <c r="X223" s="7"/>
    </row>
    <row r="224" spans="1:24" x14ac:dyDescent="0.25">
      <c r="E224" s="3"/>
      <c r="G224" s="3"/>
      <c r="H224" s="7"/>
      <c r="I224" s="3"/>
      <c r="L224" s="7"/>
      <c r="M224" s="3"/>
      <c r="P224" s="7"/>
      <c r="Q224" s="3"/>
      <c r="R224" s="7"/>
      <c r="S224" s="7"/>
      <c r="T224" s="7"/>
      <c r="V224" s="7"/>
      <c r="W224" s="7"/>
      <c r="X224" s="7"/>
    </row>
    <row r="225" spans="5:24" x14ac:dyDescent="0.25">
      <c r="E225" s="3"/>
      <c r="G225" s="3"/>
      <c r="H225" s="7"/>
      <c r="I225" s="3"/>
      <c r="L225" s="7"/>
      <c r="M225" s="3"/>
      <c r="P225" s="7"/>
      <c r="Q225" s="3"/>
      <c r="R225" s="7"/>
      <c r="S225" s="7"/>
      <c r="T225" s="7"/>
      <c r="V225" s="7"/>
      <c r="W225" s="7"/>
      <c r="X225" s="7"/>
    </row>
    <row r="226" spans="5:24" x14ac:dyDescent="0.25">
      <c r="E226" s="3"/>
      <c r="G226" s="3"/>
      <c r="H226" s="7"/>
      <c r="I226" s="3"/>
      <c r="L226" s="7"/>
      <c r="M226" s="3"/>
      <c r="P226" s="7"/>
      <c r="Q226" s="3"/>
      <c r="R226" s="7"/>
      <c r="S226" s="7"/>
      <c r="T226" s="7"/>
      <c r="V226" s="7"/>
      <c r="W226" s="7"/>
      <c r="X226" s="7"/>
    </row>
    <row r="227" spans="5:24" x14ac:dyDescent="0.25">
      <c r="E227" s="3"/>
      <c r="G227" s="3"/>
      <c r="H227" s="7"/>
      <c r="I227" s="3"/>
      <c r="L227" s="7"/>
      <c r="M227" s="3"/>
      <c r="P227" s="7"/>
      <c r="Q227" s="3"/>
      <c r="R227" s="7"/>
      <c r="S227" s="7"/>
      <c r="T227" s="7"/>
      <c r="V227" s="7"/>
      <c r="W227" s="7"/>
      <c r="X227" s="7"/>
    </row>
    <row r="228" spans="5:24" x14ac:dyDescent="0.25">
      <c r="E228" s="3"/>
      <c r="G228" s="3"/>
      <c r="H228" s="7"/>
      <c r="I228" s="3"/>
      <c r="L228" s="7"/>
      <c r="M228" s="3"/>
      <c r="P228" s="7"/>
      <c r="Q228" s="3"/>
      <c r="R228" s="7"/>
      <c r="S228" s="7"/>
      <c r="T228" s="7"/>
      <c r="V228" s="7"/>
      <c r="W228" s="7"/>
      <c r="X228" s="7"/>
    </row>
    <row r="229" spans="5:24" x14ac:dyDescent="0.25">
      <c r="E229" s="3"/>
      <c r="G229" s="3"/>
      <c r="H229" s="7"/>
      <c r="I229" s="3"/>
      <c r="L229" s="7"/>
      <c r="M229" s="3"/>
      <c r="P229" s="7"/>
      <c r="Q229" s="3"/>
      <c r="R229" s="7"/>
      <c r="S229" s="7"/>
      <c r="T229" s="7"/>
      <c r="V229" s="7"/>
      <c r="W229" s="7"/>
      <c r="X229" s="7"/>
    </row>
    <row r="230" spans="5:24" x14ac:dyDescent="0.25">
      <c r="E230" s="3"/>
      <c r="G230" s="3"/>
      <c r="H230" s="7"/>
      <c r="I230" s="3"/>
      <c r="L230" s="7"/>
      <c r="M230" s="3"/>
      <c r="P230" s="7"/>
      <c r="Q230" s="3"/>
      <c r="R230" s="7"/>
      <c r="S230" s="7"/>
      <c r="T230" s="7"/>
      <c r="V230" s="7"/>
      <c r="W230" s="7"/>
      <c r="X230" s="7"/>
    </row>
    <row r="231" spans="5:24" x14ac:dyDescent="0.25">
      <c r="E231" s="3"/>
      <c r="G231" s="3"/>
      <c r="H231" s="7"/>
      <c r="I231" s="3"/>
      <c r="L231" s="7"/>
      <c r="M231" s="3"/>
      <c r="P231" s="7"/>
      <c r="Q231" s="3"/>
      <c r="R231" s="7"/>
      <c r="S231" s="7"/>
      <c r="T231" s="7"/>
      <c r="V231" s="7"/>
      <c r="W231" s="7"/>
      <c r="X231" s="7"/>
    </row>
    <row r="232" spans="5:24" x14ac:dyDescent="0.25">
      <c r="E232" s="3"/>
      <c r="G232" s="3"/>
      <c r="H232" s="7"/>
      <c r="I232" s="3"/>
      <c r="L232" s="7"/>
      <c r="M232" s="3"/>
      <c r="P232" s="7"/>
      <c r="Q232" s="3"/>
      <c r="R232" s="7"/>
      <c r="S232" s="7"/>
      <c r="T232" s="7"/>
      <c r="V232" s="7"/>
      <c r="W232" s="7"/>
      <c r="X232" s="7"/>
    </row>
    <row r="233" spans="5:24" x14ac:dyDescent="0.25">
      <c r="E233" s="3"/>
      <c r="G233" s="3"/>
      <c r="H233" s="7"/>
      <c r="I233" s="3"/>
      <c r="L233" s="7"/>
      <c r="M233" s="3"/>
      <c r="P233" s="7"/>
      <c r="Q233" s="3"/>
      <c r="R233" s="7"/>
      <c r="S233" s="7"/>
      <c r="T233" s="7"/>
      <c r="V233" s="7"/>
      <c r="W233" s="7"/>
      <c r="X233" s="7"/>
    </row>
    <row r="234" spans="5:24" x14ac:dyDescent="0.25">
      <c r="E234" s="3"/>
      <c r="G234" s="3"/>
      <c r="H234" s="7"/>
      <c r="I234" s="3"/>
      <c r="L234" s="7"/>
      <c r="M234" s="3"/>
      <c r="P234" s="7"/>
      <c r="Q234" s="3"/>
      <c r="R234" s="7"/>
      <c r="S234" s="7"/>
      <c r="T234" s="7"/>
      <c r="V234" s="7"/>
      <c r="W234" s="7"/>
      <c r="X234" s="7"/>
    </row>
    <row r="235" spans="5:24" x14ac:dyDescent="0.25">
      <c r="E235" s="3"/>
      <c r="G235" s="3"/>
      <c r="H235" s="7"/>
      <c r="I235" s="3"/>
      <c r="L235" s="7"/>
      <c r="M235" s="3"/>
      <c r="P235" s="7"/>
      <c r="Q235" s="3"/>
      <c r="R235" s="7"/>
      <c r="S235" s="7"/>
      <c r="T235" s="7"/>
      <c r="V235" s="7"/>
      <c r="W235" s="7"/>
      <c r="X235" s="7"/>
    </row>
    <row r="236" spans="5:24" x14ac:dyDescent="0.25">
      <c r="E236" s="3"/>
      <c r="G236" s="3"/>
      <c r="H236" s="7"/>
      <c r="I236" s="3"/>
      <c r="L236" s="7"/>
      <c r="M236" s="3"/>
      <c r="P236" s="7"/>
      <c r="Q236" s="3"/>
      <c r="R236" s="7"/>
      <c r="S236" s="7"/>
      <c r="T236" s="7"/>
      <c r="V236" s="7"/>
      <c r="W236" s="7"/>
      <c r="X236" s="7"/>
    </row>
  </sheetData>
  <hyperlinks>
    <hyperlink ref="J1" location="'Oversikt'!A1" display="Oversikt" xr:uid="{A17D507A-18E6-4596-8B53-1044015C70D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243B-FBB0-41F5-AD1F-73C246E51065}">
  <sheetPr codeName="Ark15">
    <tabColor theme="5" tint="-0.249977111117893"/>
  </sheetPr>
  <dimension ref="A1:Y264"/>
  <sheetViews>
    <sheetView zoomScale="80" zoomScaleNormal="80" workbookViewId="0">
      <pane ySplit="3" topLeftCell="A4" activePane="bottomLeft" state="frozenSplit"/>
      <selection pane="bottomLeft" activeCell="E1" sqref="E1"/>
    </sheetView>
  </sheetViews>
  <sheetFormatPr baseColWidth="10" defaultColWidth="11.42578125" defaultRowHeight="15" x14ac:dyDescent="0.25"/>
  <cols>
    <col min="1" max="1" width="5" customWidth="1"/>
    <col min="5" max="5" width="5" customWidth="1"/>
    <col min="9" max="9" width="3.42578125" bestFit="1" customWidth="1"/>
    <col min="13" max="13" width="3.42578125" bestFit="1" customWidth="1"/>
    <col min="17" max="17" width="3.42578125" bestFit="1" customWidth="1"/>
    <col min="21" max="21" width="2.28515625" bestFit="1" customWidth="1"/>
    <col min="24" max="24" width="12.7109375" customWidth="1"/>
    <col min="25" max="25" width="41.7109375" bestFit="1" customWidth="1"/>
  </cols>
  <sheetData>
    <row r="1" spans="1:25" ht="18.75" x14ac:dyDescent="0.3">
      <c r="A1" t="s">
        <v>193</v>
      </c>
      <c r="E1" s="800" t="s">
        <v>50</v>
      </c>
      <c r="G1" s="3"/>
      <c r="H1" s="7"/>
      <c r="I1" s="3"/>
      <c r="L1" s="7"/>
      <c r="M1" s="3"/>
      <c r="P1" s="7"/>
      <c r="Q1" s="3"/>
      <c r="R1" s="7"/>
      <c r="S1" s="7"/>
      <c r="T1" s="7"/>
      <c r="U1" s="3"/>
      <c r="V1" s="7"/>
      <c r="W1" s="7"/>
      <c r="X1" s="7"/>
    </row>
    <row r="2" spans="1:25" x14ac:dyDescent="0.25">
      <c r="A2" s="153"/>
      <c r="B2" s="154" t="s">
        <v>109</v>
      </c>
      <c r="C2" s="155"/>
      <c r="D2" s="156"/>
      <c r="E2" s="157"/>
      <c r="F2" s="154" t="s">
        <v>110</v>
      </c>
      <c r="G2" s="158"/>
      <c r="H2" s="159"/>
      <c r="I2" s="157"/>
      <c r="J2" s="154" t="s">
        <v>111</v>
      </c>
      <c r="K2" s="155"/>
      <c r="L2" s="159"/>
      <c r="M2" s="157"/>
      <c r="N2" s="154" t="s">
        <v>185</v>
      </c>
      <c r="O2" s="155"/>
      <c r="P2" s="159"/>
      <c r="Q2" s="157"/>
      <c r="R2" s="160" t="s">
        <v>186</v>
      </c>
      <c r="S2" s="161"/>
      <c r="T2" s="159"/>
      <c r="U2" s="157"/>
      <c r="V2" s="160" t="s">
        <v>187</v>
      </c>
      <c r="W2" s="161"/>
      <c r="X2" s="159"/>
      <c r="Y2" s="162" t="s">
        <v>105</v>
      </c>
    </row>
    <row r="3" spans="1:25" x14ac:dyDescent="0.25">
      <c r="A3" s="232"/>
      <c r="B3" s="233">
        <v>27500</v>
      </c>
      <c r="C3" s="234">
        <v>24500</v>
      </c>
      <c r="D3" s="235">
        <v>28556.5</v>
      </c>
      <c r="E3" s="236"/>
      <c r="F3" s="233">
        <v>27500</v>
      </c>
      <c r="G3" s="234">
        <v>24500</v>
      </c>
      <c r="H3" s="235">
        <v>28556.5</v>
      </c>
      <c r="I3" s="236"/>
      <c r="J3" s="233">
        <v>27500</v>
      </c>
      <c r="K3" s="234">
        <v>24500</v>
      </c>
      <c r="L3" s="235">
        <v>28556.5</v>
      </c>
      <c r="M3" s="236"/>
      <c r="N3" s="233">
        <v>27500</v>
      </c>
      <c r="O3" s="234">
        <v>24500</v>
      </c>
      <c r="P3" s="235">
        <v>28556.5</v>
      </c>
      <c r="Q3" s="236"/>
      <c r="R3" s="237">
        <v>27500</v>
      </c>
      <c r="S3" s="234">
        <v>24500</v>
      </c>
      <c r="T3" s="235">
        <v>28556.5</v>
      </c>
      <c r="U3" s="236"/>
      <c r="V3" s="233">
        <v>27500</v>
      </c>
      <c r="W3" s="238">
        <v>26500</v>
      </c>
      <c r="X3" s="239">
        <v>28556.5</v>
      </c>
      <c r="Y3" s="240" t="s">
        <v>188</v>
      </c>
    </row>
    <row r="4" spans="1:25" x14ac:dyDescent="0.25">
      <c r="A4" s="232"/>
      <c r="B4" s="241">
        <v>27548.5</v>
      </c>
      <c r="C4" s="47"/>
      <c r="E4" s="236"/>
      <c r="F4" s="241">
        <v>27548.5</v>
      </c>
      <c r="G4" s="45"/>
      <c r="I4" s="236"/>
      <c r="J4" s="241">
        <v>27548.5</v>
      </c>
      <c r="K4" s="45"/>
      <c r="M4" s="236"/>
      <c r="N4" s="241">
        <v>27548.5</v>
      </c>
      <c r="O4" s="47"/>
      <c r="Q4" s="236"/>
      <c r="R4" s="242">
        <v>27548.5</v>
      </c>
      <c r="S4" s="47"/>
      <c r="U4" s="236"/>
      <c r="V4" s="241">
        <v>27548.5</v>
      </c>
      <c r="W4" s="243">
        <v>25557</v>
      </c>
      <c r="X4" s="171"/>
      <c r="Y4" s="778"/>
    </row>
    <row r="5" spans="1:25" x14ac:dyDescent="0.25">
      <c r="A5" s="244">
        <v>1</v>
      </c>
      <c r="B5" s="112">
        <f t="shared" ref="B5:B68" si="0">28500.5-953.75+3.5*A5</f>
        <v>27550.25</v>
      </c>
      <c r="C5" s="112" t="s">
        <v>106</v>
      </c>
      <c r="D5" s="112">
        <f t="shared" ref="D5:D68" si="1">28500.5+54.25+3.5*A5</f>
        <v>28558.25</v>
      </c>
      <c r="E5" s="245">
        <v>1</v>
      </c>
      <c r="F5" s="58">
        <f>28500.5-955.5+7*E5</f>
        <v>27552</v>
      </c>
      <c r="G5" s="55" t="s">
        <v>106</v>
      </c>
      <c r="H5" s="246">
        <f>28500.5+52.5+7*E5</f>
        <v>28560</v>
      </c>
      <c r="I5" s="245"/>
      <c r="J5" s="58"/>
      <c r="K5" s="58"/>
      <c r="L5" s="247"/>
      <c r="M5" s="245"/>
      <c r="N5" s="58"/>
      <c r="O5" s="58"/>
      <c r="P5" s="247"/>
      <c r="Q5" s="245"/>
      <c r="R5" s="248"/>
      <c r="S5" s="249"/>
      <c r="T5" s="247"/>
      <c r="U5" s="245"/>
      <c r="V5" s="249"/>
      <c r="W5" s="249"/>
      <c r="X5" s="247"/>
      <c r="Y5" s="778"/>
    </row>
    <row r="6" spans="1:25" x14ac:dyDescent="0.25">
      <c r="A6" s="189">
        <f t="shared" ref="A6:A69" si="2">A5+1</f>
        <v>2</v>
      </c>
      <c r="B6" s="112">
        <f t="shared" si="0"/>
        <v>27553.75</v>
      </c>
      <c r="C6" s="58" t="str">
        <f t="shared" ref="C6:C69" si="3">C5</f>
        <v>/</v>
      </c>
      <c r="D6" s="112">
        <f t="shared" si="1"/>
        <v>28561.75</v>
      </c>
      <c r="E6" s="245" t="s">
        <v>127</v>
      </c>
      <c r="F6" s="58"/>
      <c r="G6" s="55"/>
      <c r="H6" s="247"/>
      <c r="I6" s="245">
        <v>1</v>
      </c>
      <c r="J6" s="58">
        <f>28500.5-959+14*I6</f>
        <v>27555.5</v>
      </c>
      <c r="K6" s="55" t="s">
        <v>106</v>
      </c>
      <c r="L6" s="246">
        <f>28500.5+49+14*I6</f>
        <v>28563.5</v>
      </c>
      <c r="M6" s="245"/>
      <c r="N6" s="58"/>
      <c r="O6" s="58"/>
      <c r="P6" s="247"/>
      <c r="Q6" s="245"/>
      <c r="R6" s="248"/>
      <c r="S6" s="249"/>
      <c r="T6" s="247"/>
      <c r="U6" s="245"/>
      <c r="V6" s="249"/>
      <c r="W6" s="249"/>
      <c r="X6" s="247"/>
      <c r="Y6" s="778"/>
    </row>
    <row r="7" spans="1:25" x14ac:dyDescent="0.25">
      <c r="A7" s="189">
        <f t="shared" si="2"/>
        <v>3</v>
      </c>
      <c r="B7" s="112">
        <f t="shared" si="0"/>
        <v>27557.25</v>
      </c>
      <c r="C7" s="58" t="str">
        <f t="shared" si="3"/>
        <v>/</v>
      </c>
      <c r="D7" s="112">
        <f t="shared" si="1"/>
        <v>28565.25</v>
      </c>
      <c r="E7" s="245">
        <f>E5+1</f>
        <v>2</v>
      </c>
      <c r="F7" s="58">
        <f>28500.5-955.5+7*E7</f>
        <v>27559</v>
      </c>
      <c r="G7" s="55" t="s">
        <v>106</v>
      </c>
      <c r="H7" s="246">
        <f>28500.5+52.5+7*E7</f>
        <v>28567</v>
      </c>
      <c r="I7" s="245"/>
      <c r="J7" s="58"/>
      <c r="K7" s="55"/>
      <c r="L7" s="246"/>
      <c r="M7" s="245"/>
      <c r="N7" s="58"/>
      <c r="O7" s="58"/>
      <c r="P7" s="247"/>
      <c r="Q7" s="245"/>
      <c r="R7" s="248"/>
      <c r="S7" s="249"/>
      <c r="T7" s="247"/>
      <c r="U7" s="245"/>
      <c r="V7" s="250"/>
      <c r="W7" s="249"/>
      <c r="X7" s="251"/>
      <c r="Y7" s="778"/>
    </row>
    <row r="8" spans="1:25" x14ac:dyDescent="0.25">
      <c r="A8" s="189">
        <f t="shared" si="2"/>
        <v>4</v>
      </c>
      <c r="B8" s="112">
        <f t="shared" si="0"/>
        <v>27560.75</v>
      </c>
      <c r="C8" s="58" t="str">
        <f t="shared" si="3"/>
        <v>/</v>
      </c>
      <c r="D8" s="112">
        <f t="shared" si="1"/>
        <v>28568.75</v>
      </c>
      <c r="E8" s="245" t="s">
        <v>127</v>
      </c>
      <c r="F8" s="58"/>
      <c r="G8" s="55"/>
      <c r="H8" s="247"/>
      <c r="I8" s="245"/>
      <c r="J8" s="58"/>
      <c r="K8" s="58"/>
      <c r="L8" s="247"/>
      <c r="M8" s="245">
        <v>1</v>
      </c>
      <c r="N8" s="58">
        <f>28500.5-966+28*M8</f>
        <v>27562.5</v>
      </c>
      <c r="O8" s="55" t="s">
        <v>106</v>
      </c>
      <c r="P8" s="246">
        <f>28500.5+42+28*M8</f>
        <v>28570.5</v>
      </c>
      <c r="Q8" s="245"/>
      <c r="R8" s="248"/>
      <c r="S8" s="249"/>
      <c r="T8" s="247"/>
      <c r="U8" s="245"/>
      <c r="V8" s="249"/>
      <c r="W8" s="249"/>
      <c r="X8" s="249"/>
      <c r="Y8" s="778"/>
    </row>
    <row r="9" spans="1:25" x14ac:dyDescent="0.25">
      <c r="A9" s="189">
        <f t="shared" si="2"/>
        <v>5</v>
      </c>
      <c r="B9" s="112">
        <f t="shared" si="0"/>
        <v>27564.25</v>
      </c>
      <c r="C9" s="58" t="str">
        <f t="shared" si="3"/>
        <v>/</v>
      </c>
      <c r="D9" s="112">
        <f t="shared" si="1"/>
        <v>28572.25</v>
      </c>
      <c r="E9" s="245">
        <f>E7+1</f>
        <v>3</v>
      </c>
      <c r="F9" s="58">
        <f>28500.5-955.5+7*E9</f>
        <v>27566</v>
      </c>
      <c r="G9" s="55" t="s">
        <v>106</v>
      </c>
      <c r="H9" s="246">
        <f>28500.5+52.5+7*E9</f>
        <v>28574</v>
      </c>
      <c r="I9" s="245"/>
      <c r="J9" s="58"/>
      <c r="K9" s="58"/>
      <c r="L9" s="247"/>
      <c r="M9" s="245"/>
      <c r="N9" s="58"/>
      <c r="O9" s="58"/>
      <c r="P9" s="247"/>
      <c r="Q9" s="245"/>
      <c r="R9" s="248"/>
      <c r="S9" s="249"/>
      <c r="T9" s="247"/>
      <c r="U9" s="245"/>
      <c r="V9" s="249"/>
      <c r="W9" s="249"/>
      <c r="X9" s="247"/>
      <c r="Y9" s="778"/>
    </row>
    <row r="10" spans="1:25" x14ac:dyDescent="0.25">
      <c r="A10" s="189">
        <f t="shared" si="2"/>
        <v>6</v>
      </c>
      <c r="B10" s="112">
        <f t="shared" si="0"/>
        <v>27567.75</v>
      </c>
      <c r="C10" s="58" t="str">
        <f t="shared" si="3"/>
        <v>/</v>
      </c>
      <c r="D10" s="112">
        <f t="shared" si="1"/>
        <v>28575.75</v>
      </c>
      <c r="E10" s="245" t="s">
        <v>127</v>
      </c>
      <c r="F10" s="58"/>
      <c r="G10" s="55"/>
      <c r="H10" s="247"/>
      <c r="I10" s="245">
        <f>I6+1</f>
        <v>2</v>
      </c>
      <c r="J10" s="58">
        <f>28500.5-959+14*I10</f>
        <v>27569.5</v>
      </c>
      <c r="K10" s="55" t="s">
        <v>106</v>
      </c>
      <c r="L10" s="246">
        <f>28500.5+49+14*I10</f>
        <v>28577.5</v>
      </c>
      <c r="M10" s="245"/>
      <c r="N10" s="58"/>
      <c r="O10" s="58"/>
      <c r="P10" s="247"/>
      <c r="Q10" s="245"/>
      <c r="R10" s="248"/>
      <c r="S10" s="249"/>
      <c r="T10" s="247"/>
      <c r="U10" s="245"/>
      <c r="V10" s="249"/>
      <c r="W10" s="249"/>
      <c r="X10" s="247"/>
      <c r="Y10" s="778"/>
    </row>
    <row r="11" spans="1:25" x14ac:dyDescent="0.25">
      <c r="A11" s="189">
        <f t="shared" si="2"/>
        <v>7</v>
      </c>
      <c r="B11" s="112">
        <f t="shared" si="0"/>
        <v>27571.25</v>
      </c>
      <c r="C11" s="58" t="str">
        <f t="shared" si="3"/>
        <v>/</v>
      </c>
      <c r="D11" s="112">
        <f t="shared" si="1"/>
        <v>28579.25</v>
      </c>
      <c r="E11" s="245">
        <f>E9+1</f>
        <v>4</v>
      </c>
      <c r="F11" s="58">
        <f>28500.5-955.5+7*E11</f>
        <v>27573</v>
      </c>
      <c r="G11" s="55" t="s">
        <v>106</v>
      </c>
      <c r="H11" s="246">
        <f>28500.5+52.5+7*E11</f>
        <v>28581</v>
      </c>
      <c r="I11" s="245"/>
      <c r="J11" s="58"/>
      <c r="K11" s="58"/>
      <c r="L11" s="246"/>
      <c r="M11" s="245"/>
      <c r="N11" s="58"/>
      <c r="O11" s="58"/>
      <c r="P11" s="247"/>
      <c r="Q11" s="245"/>
      <c r="R11" s="248"/>
      <c r="S11" s="249"/>
      <c r="T11" s="247"/>
      <c r="U11" s="245"/>
      <c r="V11" s="249"/>
      <c r="W11" s="249"/>
      <c r="X11" s="247"/>
      <c r="Y11" s="778"/>
    </row>
    <row r="12" spans="1:25" x14ac:dyDescent="0.25">
      <c r="A12" s="189">
        <f t="shared" si="2"/>
        <v>8</v>
      </c>
      <c r="B12" s="112">
        <f t="shared" si="0"/>
        <v>27574.75</v>
      </c>
      <c r="C12" s="58" t="str">
        <f t="shared" si="3"/>
        <v>/</v>
      </c>
      <c r="D12" s="112">
        <f t="shared" si="1"/>
        <v>28582.75</v>
      </c>
      <c r="E12" s="245" t="s">
        <v>127</v>
      </c>
      <c r="F12" s="58"/>
      <c r="G12" s="55"/>
      <c r="H12" s="247"/>
      <c r="I12" s="245"/>
      <c r="J12" s="58"/>
      <c r="K12" s="58"/>
      <c r="L12" s="247"/>
      <c r="M12" s="245"/>
      <c r="N12" s="58"/>
      <c r="O12" s="58"/>
      <c r="P12" s="247"/>
      <c r="Q12" s="245">
        <v>1</v>
      </c>
      <c r="R12" s="252">
        <f>28500.5-980+56*Q12</f>
        <v>27576.5</v>
      </c>
      <c r="S12" s="55" t="s">
        <v>106</v>
      </c>
      <c r="T12" s="246">
        <f>28500.5+28+56*Q12</f>
        <v>28584.5</v>
      </c>
      <c r="U12" s="245"/>
      <c r="V12" s="249"/>
      <c r="W12" s="249"/>
      <c r="X12" s="247"/>
      <c r="Y12" s="778"/>
    </row>
    <row r="13" spans="1:25" x14ac:dyDescent="0.25">
      <c r="A13" s="189">
        <f t="shared" si="2"/>
        <v>9</v>
      </c>
      <c r="B13" s="112">
        <f t="shared" si="0"/>
        <v>27578.25</v>
      </c>
      <c r="C13" s="58" t="str">
        <f t="shared" si="3"/>
        <v>/</v>
      </c>
      <c r="D13" s="112">
        <f t="shared" si="1"/>
        <v>28586.25</v>
      </c>
      <c r="E13" s="245">
        <f>E11+1</f>
        <v>5</v>
      </c>
      <c r="F13" s="58">
        <f>28500.5-955.5+7*E13</f>
        <v>27580</v>
      </c>
      <c r="G13" s="55" t="s">
        <v>106</v>
      </c>
      <c r="H13" s="246">
        <f>28500.5+52.5+7*E13</f>
        <v>28588</v>
      </c>
      <c r="I13" s="245"/>
      <c r="J13" s="58"/>
      <c r="K13" s="58"/>
      <c r="L13" s="247"/>
      <c r="M13" s="245"/>
      <c r="N13" s="58"/>
      <c r="O13" s="58"/>
      <c r="P13" s="247"/>
      <c r="Q13" s="245"/>
      <c r="R13" s="248"/>
      <c r="S13" s="249"/>
      <c r="T13" s="247"/>
      <c r="U13" s="245"/>
      <c r="V13" s="249"/>
      <c r="W13" s="249"/>
      <c r="X13" s="247"/>
      <c r="Y13" s="778"/>
    </row>
    <row r="14" spans="1:25" x14ac:dyDescent="0.25">
      <c r="A14" s="189">
        <f t="shared" si="2"/>
        <v>10</v>
      </c>
      <c r="B14" s="112">
        <f t="shared" si="0"/>
        <v>27581.75</v>
      </c>
      <c r="C14" s="58" t="str">
        <f t="shared" si="3"/>
        <v>/</v>
      </c>
      <c r="D14" s="112">
        <f t="shared" si="1"/>
        <v>28589.75</v>
      </c>
      <c r="E14" s="245" t="s">
        <v>127</v>
      </c>
      <c r="F14" s="58"/>
      <c r="G14" s="55"/>
      <c r="H14" s="247"/>
      <c r="I14" s="245">
        <f>I10+1</f>
        <v>3</v>
      </c>
      <c r="J14" s="58">
        <f>28500.5-959+14*I14</f>
        <v>27583.5</v>
      </c>
      <c r="K14" s="55" t="s">
        <v>106</v>
      </c>
      <c r="L14" s="246">
        <f>28500.5+49+14*I14</f>
        <v>28591.5</v>
      </c>
      <c r="M14" s="245"/>
      <c r="N14" s="58"/>
      <c r="O14" s="58"/>
      <c r="P14" s="247"/>
      <c r="Q14" s="245"/>
      <c r="R14" s="248"/>
      <c r="S14" s="249"/>
      <c r="T14" s="247"/>
      <c r="U14" s="245"/>
      <c r="V14" s="249"/>
      <c r="W14" s="249"/>
      <c r="X14" s="247"/>
      <c r="Y14" s="778"/>
    </row>
    <row r="15" spans="1:25" x14ac:dyDescent="0.25">
      <c r="A15" s="189">
        <f t="shared" si="2"/>
        <v>11</v>
      </c>
      <c r="B15" s="112">
        <f t="shared" si="0"/>
        <v>27585.25</v>
      </c>
      <c r="C15" s="58" t="str">
        <f t="shared" si="3"/>
        <v>/</v>
      </c>
      <c r="D15" s="112">
        <f t="shared" si="1"/>
        <v>28593.25</v>
      </c>
      <c r="E15" s="245">
        <f>E13+1</f>
        <v>6</v>
      </c>
      <c r="F15" s="58">
        <f>28500.5-955.5+7*E15</f>
        <v>27587</v>
      </c>
      <c r="G15" s="55" t="s">
        <v>106</v>
      </c>
      <c r="H15" s="246">
        <f>28500.5+52.5+7*E15</f>
        <v>28595</v>
      </c>
      <c r="I15" s="245"/>
      <c r="J15" s="58"/>
      <c r="K15" s="55"/>
      <c r="L15" s="246"/>
      <c r="M15" s="245"/>
      <c r="N15" s="58"/>
      <c r="O15" s="58"/>
      <c r="P15" s="247"/>
      <c r="Q15" s="245"/>
      <c r="R15" s="253"/>
      <c r="S15" s="249"/>
      <c r="T15" s="251"/>
      <c r="U15" s="245"/>
      <c r="V15" s="249"/>
      <c r="W15" s="249"/>
      <c r="X15" s="247"/>
      <c r="Y15" s="778"/>
    </row>
    <row r="16" spans="1:25" x14ac:dyDescent="0.25">
      <c r="A16" s="189">
        <f t="shared" si="2"/>
        <v>12</v>
      </c>
      <c r="B16" s="112">
        <f t="shared" si="0"/>
        <v>27588.75</v>
      </c>
      <c r="C16" s="58" t="str">
        <f t="shared" si="3"/>
        <v>/</v>
      </c>
      <c r="D16" s="112">
        <f t="shared" si="1"/>
        <v>28596.75</v>
      </c>
      <c r="E16" s="245" t="s">
        <v>127</v>
      </c>
      <c r="F16" s="58"/>
      <c r="G16" s="55"/>
      <c r="H16" s="247"/>
      <c r="I16" s="245"/>
      <c r="J16" s="58"/>
      <c r="K16" s="58"/>
      <c r="L16" s="247"/>
      <c r="M16" s="245">
        <f>M8+1</f>
        <v>2</v>
      </c>
      <c r="N16" s="58">
        <f>28500.5-966+28*M16</f>
        <v>27590.5</v>
      </c>
      <c r="O16" s="55" t="s">
        <v>106</v>
      </c>
      <c r="P16" s="246">
        <f>28500.5+42+28*M16</f>
        <v>28598.5</v>
      </c>
      <c r="Q16" s="245"/>
      <c r="R16" s="248"/>
      <c r="S16" s="249"/>
      <c r="T16" s="247"/>
      <c r="U16" s="117"/>
      <c r="V16" s="249"/>
      <c r="W16" s="249"/>
      <c r="X16" s="247"/>
      <c r="Y16" s="778"/>
    </row>
    <row r="17" spans="1:25" x14ac:dyDescent="0.25">
      <c r="A17" s="189">
        <f t="shared" si="2"/>
        <v>13</v>
      </c>
      <c r="B17" s="112">
        <f t="shared" si="0"/>
        <v>27592.25</v>
      </c>
      <c r="C17" s="58" t="str">
        <f t="shared" si="3"/>
        <v>/</v>
      </c>
      <c r="D17" s="112">
        <f t="shared" si="1"/>
        <v>28600.25</v>
      </c>
      <c r="E17" s="245">
        <f>E15+1</f>
        <v>7</v>
      </c>
      <c r="F17" s="58">
        <f>28500.5-955.5+7*E17</f>
        <v>27594</v>
      </c>
      <c r="G17" s="55" t="s">
        <v>106</v>
      </c>
      <c r="H17" s="246">
        <f>28500.5+52.5+7*E17</f>
        <v>28602</v>
      </c>
      <c r="I17" s="245"/>
      <c r="J17" s="58"/>
      <c r="K17" s="58"/>
      <c r="L17" s="247"/>
      <c r="M17" s="245"/>
      <c r="N17" s="58"/>
      <c r="O17" s="58"/>
      <c r="P17" s="247"/>
      <c r="Q17" s="245"/>
      <c r="R17" s="248"/>
      <c r="S17" s="249"/>
      <c r="T17" s="247"/>
      <c r="U17" s="245"/>
      <c r="V17" s="249"/>
      <c r="W17" s="249"/>
      <c r="X17" s="247"/>
      <c r="Y17" s="778"/>
    </row>
    <row r="18" spans="1:25" x14ac:dyDescent="0.25">
      <c r="A18" s="189">
        <f t="shared" si="2"/>
        <v>14</v>
      </c>
      <c r="B18" s="112">
        <f t="shared" si="0"/>
        <v>27595.75</v>
      </c>
      <c r="C18" s="58" t="str">
        <f t="shared" si="3"/>
        <v>/</v>
      </c>
      <c r="D18" s="112">
        <f t="shared" si="1"/>
        <v>28603.75</v>
      </c>
      <c r="E18" s="254" t="s">
        <v>127</v>
      </c>
      <c r="F18" s="58"/>
      <c r="G18" s="65"/>
      <c r="H18" s="247"/>
      <c r="I18" s="254">
        <f>I14+1</f>
        <v>4</v>
      </c>
      <c r="J18" s="58">
        <f>28500.5-959+14*I18</f>
        <v>27597.5</v>
      </c>
      <c r="K18" s="65" t="s">
        <v>106</v>
      </c>
      <c r="L18" s="246">
        <f>28500.5+49+14*I18</f>
        <v>28605.5</v>
      </c>
      <c r="M18" s="254"/>
      <c r="N18" s="58"/>
      <c r="O18" s="68"/>
      <c r="P18" s="247"/>
      <c r="Q18" s="254"/>
      <c r="R18" s="253"/>
      <c r="S18" s="250"/>
      <c r="T18" s="251"/>
      <c r="U18" s="254"/>
      <c r="V18" s="250"/>
      <c r="W18" s="250"/>
      <c r="X18" s="251"/>
      <c r="Y18" s="778"/>
    </row>
    <row r="19" spans="1:25" x14ac:dyDescent="0.25">
      <c r="A19" s="189">
        <f t="shared" si="2"/>
        <v>15</v>
      </c>
      <c r="B19" s="112">
        <f t="shared" si="0"/>
        <v>27599.25</v>
      </c>
      <c r="C19" s="58" t="str">
        <f t="shared" si="3"/>
        <v>/</v>
      </c>
      <c r="D19" s="112">
        <f t="shared" si="1"/>
        <v>28607.25</v>
      </c>
      <c r="E19" s="245">
        <f>E17+1</f>
        <v>8</v>
      </c>
      <c r="F19" s="58">
        <f>28500.5-955.5+7*E19</f>
        <v>27601</v>
      </c>
      <c r="G19" s="55" t="s">
        <v>106</v>
      </c>
      <c r="H19" s="246">
        <f>28500.5+52.5+7*E19</f>
        <v>28609</v>
      </c>
      <c r="I19" s="245"/>
      <c r="J19" s="58"/>
      <c r="K19" s="58"/>
      <c r="L19" s="246"/>
      <c r="M19" s="245"/>
      <c r="N19" s="58"/>
      <c r="O19" s="58"/>
      <c r="P19" s="247"/>
      <c r="Q19" s="245"/>
      <c r="R19" s="248"/>
      <c r="S19" s="249"/>
      <c r="T19" s="247"/>
      <c r="U19" s="245"/>
      <c r="V19" s="249"/>
      <c r="W19" s="249"/>
      <c r="X19" s="247"/>
      <c r="Y19" s="778"/>
    </row>
    <row r="20" spans="1:25" x14ac:dyDescent="0.25">
      <c r="A20" s="255">
        <f t="shared" si="2"/>
        <v>16</v>
      </c>
      <c r="B20" s="256">
        <f t="shared" si="0"/>
        <v>27602.75</v>
      </c>
      <c r="C20" s="257" t="str">
        <f t="shared" si="3"/>
        <v>/</v>
      </c>
      <c r="D20" s="256">
        <f t="shared" si="1"/>
        <v>28610.75</v>
      </c>
      <c r="E20" s="258"/>
      <c r="F20" s="259"/>
      <c r="G20" s="260"/>
      <c r="H20" s="261"/>
      <c r="I20" s="258"/>
      <c r="J20" s="259"/>
      <c r="K20" s="260"/>
      <c r="L20" s="261"/>
      <c r="M20" s="258"/>
      <c r="N20" s="259"/>
      <c r="O20" s="259"/>
      <c r="P20" s="261"/>
      <c r="Q20" s="258"/>
      <c r="R20" s="262"/>
      <c r="S20" s="263"/>
      <c r="T20" s="261"/>
      <c r="U20" s="245">
        <v>1</v>
      </c>
      <c r="V20" s="58">
        <f>28500.5-1008+112*U20</f>
        <v>27604.5</v>
      </c>
      <c r="W20" s="55" t="s">
        <v>106</v>
      </c>
      <c r="X20" s="246">
        <f>28500.5+112*U20</f>
        <v>28612.5</v>
      </c>
      <c r="Y20" s="783" t="s">
        <v>194</v>
      </c>
    </row>
    <row r="21" spans="1:25" x14ac:dyDescent="0.25">
      <c r="A21" s="189">
        <f t="shared" si="2"/>
        <v>17</v>
      </c>
      <c r="B21" s="112">
        <f t="shared" si="0"/>
        <v>27606.25</v>
      </c>
      <c r="C21" s="58" t="str">
        <f t="shared" si="3"/>
        <v>/</v>
      </c>
      <c r="D21" s="112">
        <f t="shared" si="1"/>
        <v>28614.25</v>
      </c>
      <c r="E21" s="245">
        <f>E19+1</f>
        <v>9</v>
      </c>
      <c r="F21" s="58">
        <f>28500.5-955.5+7*E21</f>
        <v>27608</v>
      </c>
      <c r="G21" s="55" t="s">
        <v>106</v>
      </c>
      <c r="H21" s="246">
        <f>28500.5+52.5+7*E21</f>
        <v>28616</v>
      </c>
      <c r="I21" s="245"/>
      <c r="J21" s="58"/>
      <c r="K21" s="55"/>
      <c r="L21" s="247"/>
      <c r="M21" s="245"/>
      <c r="N21" s="58"/>
      <c r="O21" s="58"/>
      <c r="P21" s="247"/>
      <c r="Q21" s="245"/>
      <c r="R21" s="248"/>
      <c r="S21" s="249"/>
      <c r="T21" s="247"/>
      <c r="U21" s="245"/>
      <c r="V21" s="249"/>
      <c r="W21" s="249"/>
      <c r="X21" s="247"/>
      <c r="Y21" s="783" t="s">
        <v>195</v>
      </c>
    </row>
    <row r="22" spans="1:25" x14ac:dyDescent="0.25">
      <c r="A22" s="189">
        <f t="shared" si="2"/>
        <v>18</v>
      </c>
      <c r="B22" s="112">
        <f t="shared" si="0"/>
        <v>27609.75</v>
      </c>
      <c r="C22" s="58" t="str">
        <f t="shared" si="3"/>
        <v>/</v>
      </c>
      <c r="D22" s="112">
        <f t="shared" si="1"/>
        <v>28617.75</v>
      </c>
      <c r="E22" s="245"/>
      <c r="F22" s="58"/>
      <c r="G22" s="55"/>
      <c r="H22" s="247"/>
      <c r="I22" s="245">
        <f>I18+1</f>
        <v>5</v>
      </c>
      <c r="J22" s="58">
        <f>28500.5-959+14*I22</f>
        <v>27611.5</v>
      </c>
      <c r="K22" s="55" t="s">
        <v>106</v>
      </c>
      <c r="L22" s="246">
        <f>28500.5+49+14*I22</f>
        <v>28619.5</v>
      </c>
      <c r="M22" s="245"/>
      <c r="N22" s="58"/>
      <c r="O22" s="58"/>
      <c r="P22" s="247"/>
      <c r="Q22" s="245"/>
      <c r="R22" s="248"/>
      <c r="S22" s="249"/>
      <c r="T22" s="247"/>
      <c r="U22" s="245"/>
      <c r="V22" s="249"/>
      <c r="W22" s="249"/>
      <c r="X22" s="247"/>
      <c r="Y22" s="778"/>
    </row>
    <row r="23" spans="1:25" x14ac:dyDescent="0.25">
      <c r="A23" s="189">
        <f t="shared" si="2"/>
        <v>19</v>
      </c>
      <c r="B23" s="112">
        <f t="shared" si="0"/>
        <v>27613.25</v>
      </c>
      <c r="C23" s="58" t="str">
        <f t="shared" si="3"/>
        <v>/</v>
      </c>
      <c r="D23" s="112">
        <f t="shared" si="1"/>
        <v>28621.25</v>
      </c>
      <c r="E23" s="245">
        <f>E21+1</f>
        <v>10</v>
      </c>
      <c r="F23" s="58">
        <f>28500.5-955.5+7*E23</f>
        <v>27615</v>
      </c>
      <c r="G23" s="55" t="s">
        <v>106</v>
      </c>
      <c r="H23" s="246">
        <f>28500.5+52.5+7*E23</f>
        <v>28623</v>
      </c>
      <c r="I23" s="245"/>
      <c r="J23" s="58"/>
      <c r="K23" s="58"/>
      <c r="L23" s="246"/>
      <c r="M23" s="245"/>
      <c r="N23" s="58"/>
      <c r="O23" s="55"/>
      <c r="P23" s="247"/>
      <c r="Q23" s="245"/>
      <c r="R23" s="248"/>
      <c r="S23" s="249"/>
      <c r="T23" s="247"/>
      <c r="U23" s="245"/>
      <c r="V23" s="249"/>
      <c r="W23" s="249"/>
      <c r="X23" s="247"/>
      <c r="Y23" s="778"/>
    </row>
    <row r="24" spans="1:25" x14ac:dyDescent="0.25">
      <c r="A24" s="189">
        <f t="shared" si="2"/>
        <v>20</v>
      </c>
      <c r="B24" s="112">
        <f t="shared" si="0"/>
        <v>27616.75</v>
      </c>
      <c r="C24" s="58" t="str">
        <f t="shared" si="3"/>
        <v>/</v>
      </c>
      <c r="D24" s="112">
        <f t="shared" si="1"/>
        <v>28624.75</v>
      </c>
      <c r="E24" s="245"/>
      <c r="F24" s="58"/>
      <c r="G24" s="55"/>
      <c r="H24" s="247"/>
      <c r="I24" s="245"/>
      <c r="J24" s="58"/>
      <c r="K24" s="55"/>
      <c r="L24" s="247"/>
      <c r="M24" s="245">
        <f>M16+1</f>
        <v>3</v>
      </c>
      <c r="N24" s="58">
        <f>28500.5-966+28*M24</f>
        <v>27618.5</v>
      </c>
      <c r="O24" s="55" t="s">
        <v>106</v>
      </c>
      <c r="P24" s="246">
        <f>28500.5+42+28*M24</f>
        <v>28626.5</v>
      </c>
      <c r="Q24" s="245"/>
      <c r="R24" s="252"/>
      <c r="S24" s="55"/>
      <c r="T24" s="246"/>
      <c r="U24" s="245"/>
      <c r="V24" s="58"/>
      <c r="W24" s="55"/>
      <c r="X24" s="246"/>
      <c r="Y24" s="778"/>
    </row>
    <row r="25" spans="1:25" x14ac:dyDescent="0.25">
      <c r="A25" s="189">
        <f t="shared" si="2"/>
        <v>21</v>
      </c>
      <c r="B25" s="112">
        <f t="shared" si="0"/>
        <v>27620.25</v>
      </c>
      <c r="C25" s="58" t="str">
        <f t="shared" si="3"/>
        <v>/</v>
      </c>
      <c r="D25" s="112">
        <f t="shared" si="1"/>
        <v>28628.25</v>
      </c>
      <c r="E25" s="245">
        <f>E23+1</f>
        <v>11</v>
      </c>
      <c r="F25" s="58">
        <f>28500.5-955.5+7*E25</f>
        <v>27622</v>
      </c>
      <c r="G25" s="55" t="s">
        <v>106</v>
      </c>
      <c r="H25" s="246">
        <f>28500.5+52.5+7*E25</f>
        <v>28630</v>
      </c>
      <c r="I25" s="245"/>
      <c r="J25" s="58"/>
      <c r="K25" s="58"/>
      <c r="L25" s="247"/>
      <c r="M25" s="245"/>
      <c r="N25" s="58"/>
      <c r="O25" s="58"/>
      <c r="P25" s="247"/>
      <c r="Q25" s="245"/>
      <c r="R25" s="248"/>
      <c r="S25" s="249"/>
      <c r="T25" s="247"/>
      <c r="U25" s="245"/>
      <c r="V25" s="249"/>
      <c r="W25" s="249"/>
      <c r="X25" s="247"/>
      <c r="Y25" s="778"/>
    </row>
    <row r="26" spans="1:25" x14ac:dyDescent="0.25">
      <c r="A26" s="189">
        <f t="shared" si="2"/>
        <v>22</v>
      </c>
      <c r="B26" s="112">
        <f t="shared" si="0"/>
        <v>27623.75</v>
      </c>
      <c r="C26" s="58" t="str">
        <f t="shared" si="3"/>
        <v>/</v>
      </c>
      <c r="D26" s="112">
        <f t="shared" si="1"/>
        <v>28631.75</v>
      </c>
      <c r="E26" s="245"/>
      <c r="F26" s="58"/>
      <c r="G26" s="55"/>
      <c r="H26" s="247"/>
      <c r="I26" s="245">
        <f>I22+1</f>
        <v>6</v>
      </c>
      <c r="J26" s="58">
        <f>28500.5-959+14*I26</f>
        <v>27625.5</v>
      </c>
      <c r="K26" s="55" t="s">
        <v>106</v>
      </c>
      <c r="L26" s="246">
        <f>28500.5+49+14*I26</f>
        <v>28633.5</v>
      </c>
      <c r="M26" s="245"/>
      <c r="N26" s="58"/>
      <c r="O26" s="58"/>
      <c r="P26" s="247"/>
      <c r="Q26" s="245"/>
      <c r="R26" s="248"/>
      <c r="S26" s="249"/>
      <c r="T26" s="247"/>
      <c r="U26" s="245"/>
      <c r="V26" s="249"/>
      <c r="W26" s="249"/>
      <c r="X26" s="247"/>
      <c r="Y26" s="778"/>
    </row>
    <row r="27" spans="1:25" x14ac:dyDescent="0.25">
      <c r="A27" s="189">
        <f t="shared" si="2"/>
        <v>23</v>
      </c>
      <c r="B27" s="112">
        <f t="shared" si="0"/>
        <v>27627.25</v>
      </c>
      <c r="C27" s="58" t="str">
        <f t="shared" si="3"/>
        <v>/</v>
      </c>
      <c r="D27" s="112">
        <f t="shared" si="1"/>
        <v>28635.25</v>
      </c>
      <c r="E27" s="245">
        <f>E25+1</f>
        <v>12</v>
      </c>
      <c r="F27" s="58">
        <f>28500.5-955.5+7*E27</f>
        <v>27629</v>
      </c>
      <c r="G27" s="55" t="s">
        <v>106</v>
      </c>
      <c r="H27" s="246">
        <f>28500.5+52.5+7*E27</f>
        <v>28637</v>
      </c>
      <c r="I27" s="245"/>
      <c r="J27" s="58"/>
      <c r="K27" s="58"/>
      <c r="L27" s="246"/>
      <c r="M27" s="245"/>
      <c r="N27" s="58"/>
      <c r="O27" s="58"/>
      <c r="P27" s="247"/>
      <c r="Q27" s="245"/>
      <c r="R27" s="248"/>
      <c r="S27" s="249"/>
      <c r="T27" s="247"/>
      <c r="U27" s="245"/>
      <c r="V27" s="249"/>
      <c r="W27" s="249"/>
      <c r="X27" s="247"/>
      <c r="Y27" s="778"/>
    </row>
    <row r="28" spans="1:25" x14ac:dyDescent="0.25">
      <c r="A28" s="189">
        <f t="shared" si="2"/>
        <v>24</v>
      </c>
      <c r="B28" s="112">
        <f t="shared" si="0"/>
        <v>27630.75</v>
      </c>
      <c r="C28" s="58" t="str">
        <f t="shared" si="3"/>
        <v>/</v>
      </c>
      <c r="D28" s="112">
        <f t="shared" si="1"/>
        <v>28638.75</v>
      </c>
      <c r="E28" s="245"/>
      <c r="F28" s="58"/>
      <c r="G28" s="55"/>
      <c r="H28" s="247"/>
      <c r="I28" s="245"/>
      <c r="J28" s="58"/>
      <c r="K28" s="58"/>
      <c r="L28" s="247"/>
      <c r="M28" s="245"/>
      <c r="N28" s="58"/>
      <c r="O28" s="58"/>
      <c r="P28" s="247"/>
      <c r="Q28" s="245">
        <f>Q12+1</f>
        <v>2</v>
      </c>
      <c r="R28" s="252">
        <f>28500.5-980+56*Q28</f>
        <v>27632.5</v>
      </c>
      <c r="S28" s="55" t="s">
        <v>106</v>
      </c>
      <c r="T28" s="246">
        <f>28500.5+28+56*Q28</f>
        <v>28640.5</v>
      </c>
      <c r="U28" s="245"/>
      <c r="V28" s="249"/>
      <c r="W28" s="249"/>
      <c r="X28" s="247"/>
      <c r="Y28" s="778"/>
    </row>
    <row r="29" spans="1:25" x14ac:dyDescent="0.25">
      <c r="A29" s="189">
        <f t="shared" si="2"/>
        <v>25</v>
      </c>
      <c r="B29" s="112">
        <f t="shared" si="0"/>
        <v>27634.25</v>
      </c>
      <c r="C29" s="58" t="str">
        <f t="shared" si="3"/>
        <v>/</v>
      </c>
      <c r="D29" s="112">
        <f t="shared" si="1"/>
        <v>28642.25</v>
      </c>
      <c r="E29" s="245">
        <f>E27+1</f>
        <v>13</v>
      </c>
      <c r="F29" s="58">
        <f>28500.5-955.5+7*E29</f>
        <v>27636</v>
      </c>
      <c r="G29" s="55" t="s">
        <v>106</v>
      </c>
      <c r="H29" s="246">
        <f>28500.5+52.5+7*E29</f>
        <v>28644</v>
      </c>
      <c r="I29" s="245"/>
      <c r="J29" s="58"/>
      <c r="K29" s="55"/>
      <c r="L29" s="247"/>
      <c r="M29" s="245"/>
      <c r="N29" s="58"/>
      <c r="O29" s="58"/>
      <c r="P29" s="247"/>
      <c r="Q29" s="245"/>
      <c r="R29" s="248"/>
      <c r="S29" s="249"/>
      <c r="T29" s="247"/>
      <c r="U29" s="245"/>
      <c r="V29" s="249"/>
      <c r="W29" s="249"/>
      <c r="X29" s="247"/>
      <c r="Y29" s="778"/>
    </row>
    <row r="30" spans="1:25" x14ac:dyDescent="0.25">
      <c r="A30" s="189">
        <f t="shared" si="2"/>
        <v>26</v>
      </c>
      <c r="B30" s="112">
        <f t="shared" si="0"/>
        <v>27637.75</v>
      </c>
      <c r="C30" s="58" t="str">
        <f t="shared" si="3"/>
        <v>/</v>
      </c>
      <c r="D30" s="112">
        <f t="shared" si="1"/>
        <v>28645.75</v>
      </c>
      <c r="E30" s="245"/>
      <c r="F30" s="58"/>
      <c r="G30" s="55"/>
      <c r="H30" s="247"/>
      <c r="I30" s="245">
        <f>I26+1</f>
        <v>7</v>
      </c>
      <c r="J30" s="58">
        <f>28500.5-959+14*I30</f>
        <v>27639.5</v>
      </c>
      <c r="K30" s="55" t="s">
        <v>106</v>
      </c>
      <c r="L30" s="246">
        <f>28500.5+49+14*I30</f>
        <v>28647.5</v>
      </c>
      <c r="M30" s="245"/>
      <c r="N30" s="58"/>
      <c r="O30" s="58"/>
      <c r="P30" s="247"/>
      <c r="Q30" s="245"/>
      <c r="R30" s="248"/>
      <c r="S30" s="249"/>
      <c r="T30" s="247"/>
      <c r="U30" s="245"/>
      <c r="V30" s="249"/>
      <c r="W30" s="249"/>
      <c r="X30" s="247"/>
      <c r="Y30" s="778"/>
    </row>
    <row r="31" spans="1:25" x14ac:dyDescent="0.25">
      <c r="A31" s="189">
        <f t="shared" si="2"/>
        <v>27</v>
      </c>
      <c r="B31" s="112">
        <f t="shared" si="0"/>
        <v>27641.25</v>
      </c>
      <c r="C31" s="58" t="str">
        <f t="shared" si="3"/>
        <v>/</v>
      </c>
      <c r="D31" s="112">
        <f t="shared" si="1"/>
        <v>28649.25</v>
      </c>
      <c r="E31" s="245">
        <f>E29+1</f>
        <v>14</v>
      </c>
      <c r="F31" s="58">
        <f>28500.5-955.5+7*E31</f>
        <v>27643</v>
      </c>
      <c r="G31" s="55" t="s">
        <v>106</v>
      </c>
      <c r="H31" s="246">
        <f>28500.5+52.5+7*E31</f>
        <v>28651</v>
      </c>
      <c r="I31" s="245"/>
      <c r="J31" s="58"/>
      <c r="K31" s="58"/>
      <c r="L31" s="246"/>
      <c r="M31" s="245"/>
      <c r="N31" s="58"/>
      <c r="O31" s="55"/>
      <c r="P31" s="247"/>
      <c r="Q31" s="245"/>
      <c r="R31" s="248"/>
      <c r="S31" s="249"/>
      <c r="T31" s="247"/>
      <c r="U31" s="245"/>
      <c r="V31" s="249"/>
      <c r="W31" s="249"/>
      <c r="X31" s="247"/>
      <c r="Y31" s="778"/>
    </row>
    <row r="32" spans="1:25" x14ac:dyDescent="0.25">
      <c r="A32" s="189">
        <f t="shared" si="2"/>
        <v>28</v>
      </c>
      <c r="B32" s="112">
        <f t="shared" si="0"/>
        <v>27644.75</v>
      </c>
      <c r="C32" s="58" t="str">
        <f t="shared" si="3"/>
        <v>/</v>
      </c>
      <c r="D32" s="112">
        <f t="shared" si="1"/>
        <v>28652.75</v>
      </c>
      <c r="E32" s="245"/>
      <c r="F32" s="58"/>
      <c r="G32" s="55"/>
      <c r="H32" s="247"/>
      <c r="I32" s="245"/>
      <c r="J32" s="58"/>
      <c r="K32" s="58"/>
      <c r="L32" s="247"/>
      <c r="M32" s="245">
        <f>M24+1</f>
        <v>4</v>
      </c>
      <c r="N32" s="58">
        <f>28500.5-966+28*M32</f>
        <v>27646.5</v>
      </c>
      <c r="O32" s="55" t="s">
        <v>106</v>
      </c>
      <c r="P32" s="246">
        <f>28500.5+42+28*M32</f>
        <v>28654.5</v>
      </c>
      <c r="Q32" s="245"/>
      <c r="R32" s="248"/>
      <c r="S32" s="249"/>
      <c r="T32" s="247"/>
      <c r="U32" s="245"/>
      <c r="V32" s="249"/>
      <c r="W32" s="249"/>
      <c r="X32" s="247"/>
      <c r="Y32" s="778"/>
    </row>
    <row r="33" spans="1:25" x14ac:dyDescent="0.25">
      <c r="A33" s="189">
        <f t="shared" si="2"/>
        <v>29</v>
      </c>
      <c r="B33" s="112">
        <f t="shared" si="0"/>
        <v>27648.25</v>
      </c>
      <c r="C33" s="58" t="str">
        <f t="shared" si="3"/>
        <v>/</v>
      </c>
      <c r="D33" s="112">
        <f t="shared" si="1"/>
        <v>28656.25</v>
      </c>
      <c r="E33" s="245">
        <f>E31+1</f>
        <v>15</v>
      </c>
      <c r="F33" s="58">
        <f>28500.5-955.5+7*E33</f>
        <v>27650</v>
      </c>
      <c r="G33" s="55" t="s">
        <v>106</v>
      </c>
      <c r="H33" s="246">
        <f>28500.5+52.5+7*E33</f>
        <v>28658</v>
      </c>
      <c r="I33" s="245"/>
      <c r="J33" s="58"/>
      <c r="K33" s="55"/>
      <c r="L33" s="247"/>
      <c r="M33" s="245"/>
      <c r="N33" s="58"/>
      <c r="O33" s="58"/>
      <c r="P33" s="247"/>
      <c r="Q33" s="245"/>
      <c r="R33" s="248"/>
      <c r="S33" s="249"/>
      <c r="T33" s="247"/>
      <c r="U33" s="245"/>
      <c r="V33" s="249"/>
      <c r="W33" s="249"/>
      <c r="X33" s="247"/>
      <c r="Y33" s="778"/>
    </row>
    <row r="34" spans="1:25" x14ac:dyDescent="0.25">
      <c r="A34" s="189">
        <f t="shared" si="2"/>
        <v>30</v>
      </c>
      <c r="B34" s="112">
        <f t="shared" si="0"/>
        <v>27651.75</v>
      </c>
      <c r="C34" s="58" t="str">
        <f t="shared" si="3"/>
        <v>/</v>
      </c>
      <c r="D34" s="112">
        <f t="shared" si="1"/>
        <v>28659.75</v>
      </c>
      <c r="E34" s="245"/>
      <c r="F34" s="58"/>
      <c r="G34" s="55"/>
      <c r="H34" s="247"/>
      <c r="I34" s="245">
        <f>I30+1</f>
        <v>8</v>
      </c>
      <c r="J34" s="58">
        <f>28500.5-959+14*I34</f>
        <v>27653.5</v>
      </c>
      <c r="K34" s="55" t="s">
        <v>106</v>
      </c>
      <c r="L34" s="246">
        <f>28500.5+49+14*I34</f>
        <v>28661.5</v>
      </c>
      <c r="M34" s="245"/>
      <c r="N34" s="58"/>
      <c r="O34" s="58"/>
      <c r="P34" s="247"/>
      <c r="Q34" s="245"/>
      <c r="R34" s="248"/>
      <c r="S34" s="249"/>
      <c r="T34" s="247"/>
      <c r="U34" s="245"/>
      <c r="V34" s="249"/>
      <c r="W34" s="249"/>
      <c r="X34" s="247"/>
      <c r="Y34" s="778"/>
    </row>
    <row r="35" spans="1:25" x14ac:dyDescent="0.25">
      <c r="A35" s="189">
        <f t="shared" si="2"/>
        <v>31</v>
      </c>
      <c r="B35" s="112">
        <f t="shared" si="0"/>
        <v>27655.25</v>
      </c>
      <c r="C35" s="58" t="str">
        <f t="shared" si="3"/>
        <v>/</v>
      </c>
      <c r="D35" s="112">
        <f t="shared" si="1"/>
        <v>28663.25</v>
      </c>
      <c r="E35" s="245">
        <f>E33+1</f>
        <v>16</v>
      </c>
      <c r="F35" s="58">
        <f>28500.5-955.5+7*E35</f>
        <v>27657</v>
      </c>
      <c r="G35" s="55" t="s">
        <v>106</v>
      </c>
      <c r="H35" s="246">
        <f>28500.5+52.5+7*E35</f>
        <v>28665</v>
      </c>
      <c r="I35" s="245"/>
      <c r="J35" s="58"/>
      <c r="K35" s="58"/>
      <c r="L35" s="246"/>
      <c r="M35" s="245"/>
      <c r="N35" s="58"/>
      <c r="O35" s="58"/>
      <c r="P35" s="247"/>
      <c r="Q35" s="245"/>
      <c r="R35" s="248"/>
      <c r="S35" s="249"/>
      <c r="T35" s="247"/>
      <c r="U35" s="245"/>
      <c r="V35" s="249"/>
      <c r="W35" s="249"/>
      <c r="X35" s="247"/>
      <c r="Y35" s="778"/>
    </row>
    <row r="36" spans="1:25" x14ac:dyDescent="0.25">
      <c r="A36" s="189">
        <f t="shared" si="2"/>
        <v>32</v>
      </c>
      <c r="B36" s="256">
        <f t="shared" si="0"/>
        <v>27658.75</v>
      </c>
      <c r="C36" s="259" t="str">
        <f t="shared" si="3"/>
        <v>/</v>
      </c>
      <c r="D36" s="256">
        <f t="shared" si="1"/>
        <v>28666.75</v>
      </c>
      <c r="E36" s="258"/>
      <c r="F36" s="259"/>
      <c r="G36" s="260"/>
      <c r="H36" s="261"/>
      <c r="I36" s="258"/>
      <c r="J36" s="259"/>
      <c r="K36" s="259"/>
      <c r="L36" s="261"/>
      <c r="M36" s="258"/>
      <c r="N36" s="259"/>
      <c r="O36" s="259"/>
      <c r="P36" s="261"/>
      <c r="Q36" s="258"/>
      <c r="R36" s="262"/>
      <c r="S36" s="263"/>
      <c r="T36" s="261"/>
      <c r="U36" s="245"/>
      <c r="V36" s="249"/>
      <c r="W36" s="249"/>
      <c r="X36" s="247"/>
      <c r="Y36" s="778"/>
    </row>
    <row r="37" spans="1:25" x14ac:dyDescent="0.25">
      <c r="A37" s="189">
        <f t="shared" si="2"/>
        <v>33</v>
      </c>
      <c r="B37" s="112">
        <f t="shared" si="0"/>
        <v>27662.25</v>
      </c>
      <c r="C37" s="58" t="str">
        <f t="shared" si="3"/>
        <v>/</v>
      </c>
      <c r="D37" s="112">
        <f t="shared" si="1"/>
        <v>28670.25</v>
      </c>
      <c r="E37" s="245">
        <f>E35+1</f>
        <v>17</v>
      </c>
      <c r="F37" s="58">
        <f>28500.5-955.5+7*E37</f>
        <v>27664</v>
      </c>
      <c r="G37" s="55" t="s">
        <v>106</v>
      </c>
      <c r="H37" s="246">
        <f>28500.5+52.5+7*E37</f>
        <v>28672</v>
      </c>
      <c r="I37" s="245"/>
      <c r="J37" s="58"/>
      <c r="K37" s="55"/>
      <c r="L37" s="247"/>
      <c r="M37" s="245"/>
      <c r="N37" s="58"/>
      <c r="O37" s="58"/>
      <c r="P37" s="247"/>
      <c r="Q37" s="245"/>
      <c r="R37" s="248"/>
      <c r="S37" s="249"/>
      <c r="T37" s="247"/>
      <c r="U37" s="245"/>
      <c r="V37" s="249"/>
      <c r="W37" s="249"/>
      <c r="X37" s="247"/>
      <c r="Y37" s="778"/>
    </row>
    <row r="38" spans="1:25" x14ac:dyDescent="0.25">
      <c r="A38" s="189">
        <f t="shared" si="2"/>
        <v>34</v>
      </c>
      <c r="B38" s="112">
        <f t="shared" si="0"/>
        <v>27665.75</v>
      </c>
      <c r="C38" s="58" t="str">
        <f t="shared" si="3"/>
        <v>/</v>
      </c>
      <c r="D38" s="112">
        <f t="shared" si="1"/>
        <v>28673.75</v>
      </c>
      <c r="E38" s="245"/>
      <c r="F38" s="58"/>
      <c r="G38" s="55"/>
      <c r="H38" s="247"/>
      <c r="I38" s="245">
        <f>I34+1</f>
        <v>9</v>
      </c>
      <c r="J38" s="58">
        <f>28500.5-959+14*I38</f>
        <v>27667.5</v>
      </c>
      <c r="K38" s="55" t="s">
        <v>106</v>
      </c>
      <c r="L38" s="246">
        <f>28500.5+49+14*I38</f>
        <v>28675.5</v>
      </c>
      <c r="M38" s="245"/>
      <c r="N38" s="58"/>
      <c r="O38" s="58"/>
      <c r="P38" s="247"/>
      <c r="Q38" s="245"/>
      <c r="R38" s="248"/>
      <c r="S38" s="249"/>
      <c r="T38" s="247"/>
      <c r="U38" s="245"/>
      <c r="V38" s="249"/>
      <c r="W38" s="249"/>
      <c r="X38" s="247"/>
      <c r="Y38" s="778"/>
    </row>
    <row r="39" spans="1:25" x14ac:dyDescent="0.25">
      <c r="A39" s="189">
        <f t="shared" si="2"/>
        <v>35</v>
      </c>
      <c r="B39" s="112">
        <f t="shared" si="0"/>
        <v>27669.25</v>
      </c>
      <c r="C39" s="58" t="str">
        <f t="shared" si="3"/>
        <v>/</v>
      </c>
      <c r="D39" s="112">
        <f t="shared" si="1"/>
        <v>28677.25</v>
      </c>
      <c r="E39" s="245">
        <f>E37+1</f>
        <v>18</v>
      </c>
      <c r="F39" s="58">
        <f>28500.5-955.5+7*E39</f>
        <v>27671</v>
      </c>
      <c r="G39" s="55" t="s">
        <v>106</v>
      </c>
      <c r="H39" s="246">
        <f>28500.5+52.5+7*E39</f>
        <v>28679</v>
      </c>
      <c r="I39" s="245"/>
      <c r="J39" s="58"/>
      <c r="K39" s="58"/>
      <c r="L39" s="246"/>
      <c r="M39" s="245"/>
      <c r="N39" s="58"/>
      <c r="O39" s="55"/>
      <c r="P39" s="247"/>
      <c r="Q39" s="245"/>
      <c r="R39" s="248"/>
      <c r="S39" s="249"/>
      <c r="T39" s="247"/>
      <c r="U39" s="245"/>
      <c r="V39" s="249"/>
      <c r="W39" s="249"/>
      <c r="X39" s="247"/>
      <c r="Y39" s="778"/>
    </row>
    <row r="40" spans="1:25" x14ac:dyDescent="0.25">
      <c r="A40" s="189">
        <f t="shared" si="2"/>
        <v>36</v>
      </c>
      <c r="B40" s="112">
        <f t="shared" si="0"/>
        <v>27672.75</v>
      </c>
      <c r="C40" s="58" t="str">
        <f t="shared" si="3"/>
        <v>/</v>
      </c>
      <c r="D40" s="112">
        <f t="shared" si="1"/>
        <v>28680.75</v>
      </c>
      <c r="E40" s="245"/>
      <c r="F40" s="58"/>
      <c r="G40" s="55"/>
      <c r="H40" s="247"/>
      <c r="I40" s="245"/>
      <c r="J40" s="58"/>
      <c r="K40" s="58"/>
      <c r="L40" s="247"/>
      <c r="M40" s="245">
        <f>M32+1</f>
        <v>5</v>
      </c>
      <c r="N40" s="58">
        <f>28500.5-966+28*M40</f>
        <v>27674.5</v>
      </c>
      <c r="O40" s="55" t="s">
        <v>106</v>
      </c>
      <c r="P40" s="246">
        <f>28500.5+42+28*M40</f>
        <v>28682.5</v>
      </c>
      <c r="Q40" s="245"/>
      <c r="R40" s="252"/>
      <c r="S40" s="55"/>
      <c r="T40" s="246"/>
      <c r="U40" s="245"/>
      <c r="V40" s="249"/>
      <c r="W40" s="249"/>
      <c r="X40" s="247"/>
      <c r="Y40" s="778"/>
    </row>
    <row r="41" spans="1:25" x14ac:dyDescent="0.25">
      <c r="A41" s="189">
        <f t="shared" si="2"/>
        <v>37</v>
      </c>
      <c r="B41" s="112">
        <f t="shared" si="0"/>
        <v>27676.25</v>
      </c>
      <c r="C41" s="58" t="str">
        <f t="shared" si="3"/>
        <v>/</v>
      </c>
      <c r="D41" s="112">
        <f t="shared" si="1"/>
        <v>28684.25</v>
      </c>
      <c r="E41" s="245">
        <f>E39+1</f>
        <v>19</v>
      </c>
      <c r="F41" s="58">
        <f>28500.5-955.5+7*E41</f>
        <v>27678</v>
      </c>
      <c r="G41" s="55" t="s">
        <v>106</v>
      </c>
      <c r="H41" s="246">
        <f>28500.5+52.5+7*E41</f>
        <v>28686</v>
      </c>
      <c r="I41" s="245"/>
      <c r="J41" s="58"/>
      <c r="K41" s="55"/>
      <c r="L41" s="247"/>
      <c r="M41" s="245"/>
      <c r="N41" s="58"/>
      <c r="O41" s="58"/>
      <c r="P41" s="247"/>
      <c r="Q41" s="245"/>
      <c r="R41" s="248"/>
      <c r="S41" s="249"/>
      <c r="T41" s="247"/>
      <c r="U41" s="245"/>
      <c r="V41" s="249"/>
      <c r="W41" s="249"/>
      <c r="X41" s="247"/>
      <c r="Y41" s="778"/>
    </row>
    <row r="42" spans="1:25" x14ac:dyDescent="0.25">
      <c r="A42" s="189">
        <f t="shared" si="2"/>
        <v>38</v>
      </c>
      <c r="B42" s="112">
        <f t="shared" si="0"/>
        <v>27679.75</v>
      </c>
      <c r="C42" s="58" t="str">
        <f t="shared" si="3"/>
        <v>/</v>
      </c>
      <c r="D42" s="112">
        <f t="shared" si="1"/>
        <v>28687.75</v>
      </c>
      <c r="E42" s="245"/>
      <c r="F42" s="58"/>
      <c r="G42" s="55"/>
      <c r="H42" s="247"/>
      <c r="I42" s="245">
        <f>I38+1</f>
        <v>10</v>
      </c>
      <c r="J42" s="58">
        <f>28500.5-959+14*I42</f>
        <v>27681.5</v>
      </c>
      <c r="K42" s="55" t="s">
        <v>106</v>
      </c>
      <c r="L42" s="246">
        <f>28500.5+49+14*I42</f>
        <v>28689.5</v>
      </c>
      <c r="M42" s="245"/>
      <c r="N42" s="58"/>
      <c r="O42" s="58"/>
      <c r="P42" s="247"/>
      <c r="Q42" s="245"/>
      <c r="R42" s="248"/>
      <c r="S42" s="249"/>
      <c r="T42" s="247"/>
      <c r="U42" s="245"/>
      <c r="V42" s="249"/>
      <c r="W42" s="249"/>
      <c r="X42" s="247"/>
      <c r="Y42" s="778"/>
    </row>
    <row r="43" spans="1:25" x14ac:dyDescent="0.25">
      <c r="A43" s="189">
        <f t="shared" si="2"/>
        <v>39</v>
      </c>
      <c r="B43" s="112">
        <f t="shared" si="0"/>
        <v>27683.25</v>
      </c>
      <c r="C43" s="58" t="str">
        <f t="shared" si="3"/>
        <v>/</v>
      </c>
      <c r="D43" s="112">
        <f t="shared" si="1"/>
        <v>28691.25</v>
      </c>
      <c r="E43" s="245">
        <f>E41+1</f>
        <v>20</v>
      </c>
      <c r="F43" s="58">
        <f>28500.5-955.5+7*E43</f>
        <v>27685</v>
      </c>
      <c r="G43" s="55" t="s">
        <v>106</v>
      </c>
      <c r="H43" s="246">
        <f>28500.5+52.5+7*E43</f>
        <v>28693</v>
      </c>
      <c r="I43" s="245"/>
      <c r="J43" s="58"/>
      <c r="K43" s="58"/>
      <c r="L43" s="246"/>
      <c r="M43" s="245"/>
      <c r="N43" s="58"/>
      <c r="O43" s="58"/>
      <c r="P43" s="247"/>
      <c r="Q43" s="245"/>
      <c r="R43" s="248"/>
      <c r="S43" s="249"/>
      <c r="T43" s="247"/>
      <c r="U43" s="245"/>
      <c r="V43" s="249"/>
      <c r="W43" s="249"/>
      <c r="X43" s="247"/>
      <c r="Y43" s="778"/>
    </row>
    <row r="44" spans="1:25" x14ac:dyDescent="0.25">
      <c r="A44" s="189">
        <f t="shared" si="2"/>
        <v>40</v>
      </c>
      <c r="B44" s="112">
        <f t="shared" si="0"/>
        <v>27686.75</v>
      </c>
      <c r="C44" s="58" t="str">
        <f t="shared" si="3"/>
        <v>/</v>
      </c>
      <c r="D44" s="112">
        <f t="shared" si="1"/>
        <v>28694.75</v>
      </c>
      <c r="E44" s="245"/>
      <c r="F44" s="58"/>
      <c r="G44" s="55"/>
      <c r="H44" s="247"/>
      <c r="I44" s="245"/>
      <c r="J44" s="58"/>
      <c r="K44" s="58"/>
      <c r="L44" s="247"/>
      <c r="M44" s="245"/>
      <c r="N44" s="58"/>
      <c r="O44" s="58"/>
      <c r="P44" s="247"/>
      <c r="Q44" s="245">
        <f>Q28+1</f>
        <v>3</v>
      </c>
      <c r="R44" s="252">
        <f>28500.5-980+56*Q44</f>
        <v>27688.5</v>
      </c>
      <c r="S44" s="55" t="s">
        <v>106</v>
      </c>
      <c r="T44" s="246">
        <f>28500.5+28+56*Q44</f>
        <v>28696.5</v>
      </c>
      <c r="U44" s="245"/>
      <c r="V44" s="249"/>
      <c r="W44" s="249"/>
      <c r="X44" s="247"/>
      <c r="Y44" s="778"/>
    </row>
    <row r="45" spans="1:25" x14ac:dyDescent="0.25">
      <c r="A45" s="189">
        <f t="shared" si="2"/>
        <v>41</v>
      </c>
      <c r="B45" s="112">
        <f t="shared" si="0"/>
        <v>27690.25</v>
      </c>
      <c r="C45" s="58" t="str">
        <f t="shared" si="3"/>
        <v>/</v>
      </c>
      <c r="D45" s="112">
        <f t="shared" si="1"/>
        <v>28698.25</v>
      </c>
      <c r="E45" s="245">
        <f>E43+1</f>
        <v>21</v>
      </c>
      <c r="F45" s="58">
        <f>28500.5-955.5+7*E45</f>
        <v>27692</v>
      </c>
      <c r="G45" s="55" t="s">
        <v>106</v>
      </c>
      <c r="H45" s="246">
        <f>28500.5+52.5+7*E45</f>
        <v>28700</v>
      </c>
      <c r="I45" s="245"/>
      <c r="J45" s="58"/>
      <c r="K45" s="55"/>
      <c r="L45" s="247"/>
      <c r="M45" s="245"/>
      <c r="N45" s="58"/>
      <c r="O45" s="58"/>
      <c r="P45" s="247"/>
      <c r="Q45" s="245"/>
      <c r="R45" s="248"/>
      <c r="S45" s="249"/>
      <c r="T45" s="247"/>
      <c r="U45" s="245"/>
      <c r="V45" s="249"/>
      <c r="W45" s="249"/>
      <c r="X45" s="247"/>
      <c r="Y45" s="778"/>
    </row>
    <row r="46" spans="1:25" x14ac:dyDescent="0.25">
      <c r="A46" s="189">
        <f t="shared" si="2"/>
        <v>42</v>
      </c>
      <c r="B46" s="112">
        <f t="shared" si="0"/>
        <v>27693.75</v>
      </c>
      <c r="C46" s="58" t="str">
        <f t="shared" si="3"/>
        <v>/</v>
      </c>
      <c r="D46" s="112">
        <f t="shared" si="1"/>
        <v>28701.75</v>
      </c>
      <c r="E46" s="245"/>
      <c r="F46" s="58"/>
      <c r="G46" s="55"/>
      <c r="H46" s="247"/>
      <c r="I46" s="245">
        <f>I42+1</f>
        <v>11</v>
      </c>
      <c r="J46" s="58">
        <f>28500.5-959+14*I46</f>
        <v>27695.5</v>
      </c>
      <c r="K46" s="55" t="s">
        <v>106</v>
      </c>
      <c r="L46" s="246">
        <f>28500.5+49+14*I46</f>
        <v>28703.5</v>
      </c>
      <c r="M46" s="245"/>
      <c r="N46" s="58"/>
      <c r="O46" s="58"/>
      <c r="P46" s="247"/>
      <c r="Q46" s="245"/>
      <c r="R46" s="248"/>
      <c r="S46" s="249"/>
      <c r="T46" s="247"/>
      <c r="U46" s="245"/>
      <c r="V46" s="249"/>
      <c r="W46" s="249"/>
      <c r="X46" s="247"/>
      <c r="Y46" s="778"/>
    </row>
    <row r="47" spans="1:25" x14ac:dyDescent="0.25">
      <c r="A47" s="189">
        <f t="shared" si="2"/>
        <v>43</v>
      </c>
      <c r="B47" s="112">
        <f t="shared" si="0"/>
        <v>27697.25</v>
      </c>
      <c r="C47" s="58" t="str">
        <f t="shared" si="3"/>
        <v>/</v>
      </c>
      <c r="D47" s="112">
        <f t="shared" si="1"/>
        <v>28705.25</v>
      </c>
      <c r="E47" s="245">
        <f>E45+1</f>
        <v>22</v>
      </c>
      <c r="F47" s="58">
        <f>28500.5-955.5+7*E47</f>
        <v>27699</v>
      </c>
      <c r="G47" s="55" t="s">
        <v>106</v>
      </c>
      <c r="H47" s="246">
        <f>28500.5+52.5+7*E47</f>
        <v>28707</v>
      </c>
      <c r="I47" s="245"/>
      <c r="J47" s="58"/>
      <c r="K47" s="58"/>
      <c r="L47" s="246"/>
      <c r="M47" s="245"/>
      <c r="N47" s="58"/>
      <c r="O47" s="55"/>
      <c r="P47" s="247"/>
      <c r="Q47" s="245"/>
      <c r="R47" s="248"/>
      <c r="S47" s="249"/>
      <c r="T47" s="247"/>
      <c r="U47" s="245"/>
      <c r="V47" s="249"/>
      <c r="W47" s="249"/>
      <c r="X47" s="247"/>
      <c r="Y47" s="778" t="s">
        <v>196</v>
      </c>
    </row>
    <row r="48" spans="1:25" x14ac:dyDescent="0.25">
      <c r="A48" s="189">
        <f t="shared" si="2"/>
        <v>44</v>
      </c>
      <c r="B48" s="112">
        <f t="shared" si="0"/>
        <v>27700.75</v>
      </c>
      <c r="C48" s="58" t="str">
        <f t="shared" si="3"/>
        <v>/</v>
      </c>
      <c r="D48" s="112">
        <f t="shared" si="1"/>
        <v>28708.75</v>
      </c>
      <c r="E48" s="245"/>
      <c r="F48" s="58"/>
      <c r="G48" s="55"/>
      <c r="H48" s="247"/>
      <c r="I48" s="245"/>
      <c r="J48" s="58"/>
      <c r="K48" s="58"/>
      <c r="L48" s="247"/>
      <c r="M48" s="245">
        <f>M40+1</f>
        <v>6</v>
      </c>
      <c r="N48" s="58">
        <f>28500.5-966+28*M48</f>
        <v>27702.5</v>
      </c>
      <c r="O48" s="55" t="s">
        <v>106</v>
      </c>
      <c r="P48" s="246">
        <f>28500.5+42+28*M48</f>
        <v>28710.5</v>
      </c>
      <c r="Q48" s="245"/>
      <c r="R48" s="252"/>
      <c r="S48" s="55"/>
      <c r="T48" s="246"/>
      <c r="U48" s="245"/>
      <c r="V48" s="249"/>
      <c r="W48" s="249"/>
      <c r="X48" s="247"/>
      <c r="Y48" s="778" t="s">
        <v>197</v>
      </c>
    </row>
    <row r="49" spans="1:25" x14ac:dyDescent="0.25">
      <c r="A49" s="189">
        <f t="shared" si="2"/>
        <v>45</v>
      </c>
      <c r="B49" s="112">
        <f t="shared" si="0"/>
        <v>27704.25</v>
      </c>
      <c r="C49" s="58" t="str">
        <f t="shared" si="3"/>
        <v>/</v>
      </c>
      <c r="D49" s="112">
        <f t="shared" si="1"/>
        <v>28712.25</v>
      </c>
      <c r="E49" s="245">
        <f>E47+1</f>
        <v>23</v>
      </c>
      <c r="F49" s="58">
        <f>28500.5-955.5+7*E49</f>
        <v>27706</v>
      </c>
      <c r="G49" s="55" t="s">
        <v>106</v>
      </c>
      <c r="H49" s="246">
        <f>28500.5+52.5+7*E49</f>
        <v>28714</v>
      </c>
      <c r="I49" s="245"/>
      <c r="J49" s="58"/>
      <c r="K49" s="55"/>
      <c r="L49" s="247"/>
      <c r="M49" s="245"/>
      <c r="N49" s="58"/>
      <c r="O49" s="55"/>
      <c r="P49" s="247"/>
      <c r="Q49" s="245"/>
      <c r="R49" s="248"/>
      <c r="S49" s="249"/>
      <c r="T49" s="247"/>
      <c r="U49" s="245"/>
      <c r="V49" s="249"/>
      <c r="W49" s="249"/>
      <c r="X49" s="247"/>
      <c r="Y49" s="778" t="s">
        <v>198</v>
      </c>
    </row>
    <row r="50" spans="1:25" x14ac:dyDescent="0.25">
      <c r="A50" s="189">
        <f t="shared" si="2"/>
        <v>46</v>
      </c>
      <c r="B50" s="112">
        <f t="shared" si="0"/>
        <v>27707.75</v>
      </c>
      <c r="C50" s="58" t="str">
        <f t="shared" si="3"/>
        <v>/</v>
      </c>
      <c r="D50" s="112">
        <f t="shared" si="1"/>
        <v>28715.75</v>
      </c>
      <c r="E50" s="245"/>
      <c r="F50" s="58"/>
      <c r="G50" s="55"/>
      <c r="H50" s="247"/>
      <c r="I50" s="245">
        <f>I46+1</f>
        <v>12</v>
      </c>
      <c r="J50" s="58">
        <f>28500.5-959+14*I50</f>
        <v>27709.5</v>
      </c>
      <c r="K50" s="55" t="s">
        <v>106</v>
      </c>
      <c r="L50" s="246">
        <f>28500.5+49+14*I50</f>
        <v>28717.5</v>
      </c>
      <c r="M50" s="245"/>
      <c r="N50" s="58"/>
      <c r="O50" s="58"/>
      <c r="P50" s="247"/>
      <c r="Q50" s="245"/>
      <c r="R50" s="248"/>
      <c r="S50" s="249"/>
      <c r="T50" s="247"/>
      <c r="U50" s="245"/>
      <c r="V50" s="249"/>
      <c r="W50" s="249"/>
      <c r="X50" s="247"/>
      <c r="Y50" s="778" t="s">
        <v>199</v>
      </c>
    </row>
    <row r="51" spans="1:25" x14ac:dyDescent="0.25">
      <c r="A51" s="189">
        <f t="shared" si="2"/>
        <v>47</v>
      </c>
      <c r="B51" s="112">
        <f t="shared" si="0"/>
        <v>27711.25</v>
      </c>
      <c r="C51" s="58" t="str">
        <f t="shared" si="3"/>
        <v>/</v>
      </c>
      <c r="D51" s="112">
        <f t="shared" si="1"/>
        <v>28719.25</v>
      </c>
      <c r="E51" s="245">
        <f>E49+1</f>
        <v>24</v>
      </c>
      <c r="F51" s="58">
        <f>28500.5-955.5+7*E51</f>
        <v>27713</v>
      </c>
      <c r="G51" s="55" t="s">
        <v>106</v>
      </c>
      <c r="H51" s="246">
        <f>28500.5+52.5+7*E51</f>
        <v>28721</v>
      </c>
      <c r="I51" s="245"/>
      <c r="J51" s="58"/>
      <c r="K51" s="58"/>
      <c r="L51" s="246"/>
      <c r="M51" s="245"/>
      <c r="N51" s="58"/>
      <c r="O51" s="58"/>
      <c r="P51" s="247"/>
      <c r="Q51" s="245"/>
      <c r="R51" s="248"/>
      <c r="S51" s="249"/>
      <c r="T51" s="247"/>
      <c r="U51" s="245"/>
      <c r="V51" s="249"/>
      <c r="W51" s="249"/>
      <c r="X51" s="247"/>
      <c r="Y51" s="778" t="s">
        <v>200</v>
      </c>
    </row>
    <row r="52" spans="1:25" x14ac:dyDescent="0.25">
      <c r="A52" s="189">
        <f t="shared" si="2"/>
        <v>48</v>
      </c>
      <c r="B52" s="256">
        <f t="shared" si="0"/>
        <v>27714.75</v>
      </c>
      <c r="C52" s="259" t="str">
        <f t="shared" si="3"/>
        <v>/</v>
      </c>
      <c r="D52" s="256">
        <f t="shared" si="1"/>
        <v>28722.75</v>
      </c>
      <c r="E52" s="258"/>
      <c r="F52" s="259"/>
      <c r="G52" s="260"/>
      <c r="H52" s="261"/>
      <c r="I52" s="258"/>
      <c r="J52" s="259"/>
      <c r="K52" s="259"/>
      <c r="L52" s="261"/>
      <c r="M52" s="258"/>
      <c r="N52" s="259"/>
      <c r="O52" s="259"/>
      <c r="P52" s="261"/>
      <c r="Q52" s="258"/>
      <c r="R52" s="262"/>
      <c r="S52" s="263"/>
      <c r="T52" s="261"/>
      <c r="U52" s="245">
        <f>U20+1</f>
        <v>2</v>
      </c>
      <c r="V52" s="58">
        <f>28500.5-1008+112*U52</f>
        <v>27716.5</v>
      </c>
      <c r="W52" s="55" t="s">
        <v>106</v>
      </c>
      <c r="X52" s="246">
        <f>28500.5+112*U52</f>
        <v>28724.5</v>
      </c>
      <c r="Y52" s="778"/>
    </row>
    <row r="53" spans="1:25" x14ac:dyDescent="0.25">
      <c r="A53" s="189">
        <f t="shared" si="2"/>
        <v>49</v>
      </c>
      <c r="B53" s="112">
        <f t="shared" si="0"/>
        <v>27718.25</v>
      </c>
      <c r="C53" s="58" t="str">
        <f t="shared" si="3"/>
        <v>/</v>
      </c>
      <c r="D53" s="112">
        <f t="shared" si="1"/>
        <v>28726.25</v>
      </c>
      <c r="E53" s="245">
        <f>E51+1</f>
        <v>25</v>
      </c>
      <c r="F53" s="58">
        <f>28500.5-955.5+7*E53</f>
        <v>27720</v>
      </c>
      <c r="G53" s="55" t="s">
        <v>106</v>
      </c>
      <c r="H53" s="246">
        <f>28500.5+52.5+7*E53</f>
        <v>28728</v>
      </c>
      <c r="I53" s="245"/>
      <c r="J53" s="58"/>
      <c r="K53" s="55"/>
      <c r="L53" s="247"/>
      <c r="M53" s="245"/>
      <c r="N53" s="58"/>
      <c r="O53" s="58"/>
      <c r="P53" s="247"/>
      <c r="Q53" s="245"/>
      <c r="R53" s="248"/>
      <c r="S53" s="249"/>
      <c r="T53" s="247"/>
      <c r="U53" s="245"/>
      <c r="V53" s="249"/>
      <c r="W53" s="249"/>
      <c r="X53" s="247"/>
      <c r="Y53" s="778"/>
    </row>
    <row r="54" spans="1:25" x14ac:dyDescent="0.25">
      <c r="A54" s="189">
        <f t="shared" si="2"/>
        <v>50</v>
      </c>
      <c r="B54" s="112">
        <f t="shared" si="0"/>
        <v>27721.75</v>
      </c>
      <c r="C54" s="58" t="str">
        <f t="shared" si="3"/>
        <v>/</v>
      </c>
      <c r="D54" s="112">
        <f t="shared" si="1"/>
        <v>28729.75</v>
      </c>
      <c r="E54" s="245"/>
      <c r="F54" s="58"/>
      <c r="G54" s="55"/>
      <c r="H54" s="247"/>
      <c r="I54" s="245">
        <f>I50+1</f>
        <v>13</v>
      </c>
      <c r="J54" s="58">
        <f>28500.5-959+14*I54</f>
        <v>27723.5</v>
      </c>
      <c r="K54" s="55" t="s">
        <v>106</v>
      </c>
      <c r="L54" s="246">
        <f>28500.5+49+14*I54</f>
        <v>28731.5</v>
      </c>
      <c r="M54" s="245"/>
      <c r="N54" s="58"/>
      <c r="O54" s="58"/>
      <c r="P54" s="247"/>
      <c r="Q54" s="245"/>
      <c r="R54" s="248"/>
      <c r="S54" s="249"/>
      <c r="T54" s="247"/>
      <c r="U54" s="245"/>
      <c r="V54" s="249"/>
      <c r="W54" s="249"/>
      <c r="X54" s="247"/>
      <c r="Y54" s="778"/>
    </row>
    <row r="55" spans="1:25" x14ac:dyDescent="0.25">
      <c r="A55" s="189">
        <f t="shared" si="2"/>
        <v>51</v>
      </c>
      <c r="B55" s="112">
        <f t="shared" si="0"/>
        <v>27725.25</v>
      </c>
      <c r="C55" s="58" t="str">
        <f t="shared" si="3"/>
        <v>/</v>
      </c>
      <c r="D55" s="112">
        <f t="shared" si="1"/>
        <v>28733.25</v>
      </c>
      <c r="E55" s="245">
        <f>E53+1</f>
        <v>26</v>
      </c>
      <c r="F55" s="58">
        <f>28500.5-955.5+7*E55</f>
        <v>27727</v>
      </c>
      <c r="G55" s="55" t="s">
        <v>106</v>
      </c>
      <c r="H55" s="246">
        <f>28500.5+52.5+7*E55</f>
        <v>28735</v>
      </c>
      <c r="I55" s="245"/>
      <c r="J55" s="58"/>
      <c r="K55" s="58"/>
      <c r="L55" s="246"/>
      <c r="M55" s="245"/>
      <c r="N55" s="58"/>
      <c r="O55" s="55"/>
      <c r="P55" s="247"/>
      <c r="Q55" s="245"/>
      <c r="R55" s="248"/>
      <c r="S55" s="249"/>
      <c r="T55" s="247"/>
      <c r="U55" s="245"/>
      <c r="V55" s="249"/>
      <c r="W55" s="249"/>
      <c r="X55" s="247"/>
      <c r="Y55" s="778"/>
    </row>
    <row r="56" spans="1:25" x14ac:dyDescent="0.25">
      <c r="A56" s="189">
        <f t="shared" si="2"/>
        <v>52</v>
      </c>
      <c r="B56" s="112">
        <f t="shared" si="0"/>
        <v>27728.75</v>
      </c>
      <c r="C56" s="58" t="str">
        <f t="shared" si="3"/>
        <v>/</v>
      </c>
      <c r="D56" s="112">
        <f t="shared" si="1"/>
        <v>28736.75</v>
      </c>
      <c r="E56" s="245"/>
      <c r="F56" s="58"/>
      <c r="G56" s="55"/>
      <c r="H56" s="247"/>
      <c r="I56" s="245"/>
      <c r="J56" s="58"/>
      <c r="K56" s="58"/>
      <c r="L56" s="247"/>
      <c r="M56" s="245">
        <f>M48+1</f>
        <v>7</v>
      </c>
      <c r="N56" s="58">
        <f>28500.5-966+28*M56</f>
        <v>27730.5</v>
      </c>
      <c r="O56" s="55" t="s">
        <v>106</v>
      </c>
      <c r="P56" s="246">
        <f>28500.5+42+28*M56</f>
        <v>28738.5</v>
      </c>
      <c r="Q56" s="245"/>
      <c r="R56" s="252"/>
      <c r="S56" s="55"/>
      <c r="T56" s="246"/>
      <c r="U56" s="245"/>
      <c r="V56" s="58"/>
      <c r="W56" s="55"/>
      <c r="X56" s="246"/>
      <c r="Y56" s="778"/>
    </row>
    <row r="57" spans="1:25" x14ac:dyDescent="0.25">
      <c r="A57" s="189">
        <f t="shared" si="2"/>
        <v>53</v>
      </c>
      <c r="B57" s="112">
        <f t="shared" si="0"/>
        <v>27732.25</v>
      </c>
      <c r="C57" s="58" t="str">
        <f t="shared" si="3"/>
        <v>/</v>
      </c>
      <c r="D57" s="112">
        <f t="shared" si="1"/>
        <v>28740.25</v>
      </c>
      <c r="E57" s="245">
        <f>E55+1</f>
        <v>27</v>
      </c>
      <c r="F57" s="58">
        <f>28500.5-955.5+7*E57</f>
        <v>27734</v>
      </c>
      <c r="G57" s="55" t="s">
        <v>106</v>
      </c>
      <c r="H57" s="246">
        <f>28500.5+52.5+7*E57</f>
        <v>28742</v>
      </c>
      <c r="I57" s="245"/>
      <c r="J57" s="58"/>
      <c r="K57" s="55"/>
      <c r="L57" s="247"/>
      <c r="M57" s="245"/>
      <c r="N57" s="58"/>
      <c r="O57" s="58"/>
      <c r="P57" s="247"/>
      <c r="Q57" s="245"/>
      <c r="R57" s="248"/>
      <c r="S57" s="249"/>
      <c r="T57" s="247"/>
      <c r="U57" s="245"/>
      <c r="V57" s="249"/>
      <c r="W57" s="249"/>
      <c r="X57" s="247"/>
      <c r="Y57" s="778"/>
    </row>
    <row r="58" spans="1:25" x14ac:dyDescent="0.25">
      <c r="A58" s="189">
        <f t="shared" si="2"/>
        <v>54</v>
      </c>
      <c r="B58" s="112">
        <f t="shared" si="0"/>
        <v>27735.75</v>
      </c>
      <c r="C58" s="58" t="str">
        <f t="shared" si="3"/>
        <v>/</v>
      </c>
      <c r="D58" s="112">
        <f t="shared" si="1"/>
        <v>28743.75</v>
      </c>
      <c r="E58" s="245"/>
      <c r="F58" s="58"/>
      <c r="G58" s="55"/>
      <c r="H58" s="247"/>
      <c r="I58" s="245">
        <f>I54+1</f>
        <v>14</v>
      </c>
      <c r="J58" s="58">
        <f>28500.5-959+14*I58</f>
        <v>27737.5</v>
      </c>
      <c r="K58" s="55" t="s">
        <v>106</v>
      </c>
      <c r="L58" s="246">
        <f>28500.5+49+14*I58</f>
        <v>28745.5</v>
      </c>
      <c r="M58" s="245"/>
      <c r="N58" s="58"/>
      <c r="O58" s="58"/>
      <c r="P58" s="247"/>
      <c r="Q58" s="245"/>
      <c r="R58" s="248"/>
      <c r="S58" s="249"/>
      <c r="T58" s="247"/>
      <c r="U58" s="245"/>
      <c r="V58" s="249"/>
      <c r="W58" s="249"/>
      <c r="X58" s="247"/>
      <c r="Y58" s="778"/>
    </row>
    <row r="59" spans="1:25" x14ac:dyDescent="0.25">
      <c r="A59" s="189">
        <f t="shared" si="2"/>
        <v>55</v>
      </c>
      <c r="B59" s="112">
        <f t="shared" si="0"/>
        <v>27739.25</v>
      </c>
      <c r="C59" s="58" t="str">
        <f t="shared" si="3"/>
        <v>/</v>
      </c>
      <c r="D59" s="112">
        <f t="shared" si="1"/>
        <v>28747.25</v>
      </c>
      <c r="E59" s="245">
        <f>E57+1</f>
        <v>28</v>
      </c>
      <c r="F59" s="58">
        <f>28500.5-955.5+7*E59</f>
        <v>27741</v>
      </c>
      <c r="G59" s="55" t="s">
        <v>106</v>
      </c>
      <c r="H59" s="246">
        <f>28500.5+52.5+7*E59</f>
        <v>28749</v>
      </c>
      <c r="I59" s="245"/>
      <c r="J59" s="58"/>
      <c r="K59" s="58"/>
      <c r="L59" s="246"/>
      <c r="M59" s="245"/>
      <c r="N59" s="58"/>
      <c r="O59" s="58"/>
      <c r="P59" s="247"/>
      <c r="Q59" s="245"/>
      <c r="R59" s="248"/>
      <c r="S59" s="249"/>
      <c r="T59" s="247"/>
      <c r="U59" s="245"/>
      <c r="V59" s="249"/>
      <c r="W59" s="249"/>
      <c r="X59" s="247"/>
      <c r="Y59" s="778"/>
    </row>
    <row r="60" spans="1:25" x14ac:dyDescent="0.25">
      <c r="A60" s="189">
        <f t="shared" si="2"/>
        <v>56</v>
      </c>
      <c r="B60" s="112">
        <f t="shared" si="0"/>
        <v>27742.75</v>
      </c>
      <c r="C60" s="58" t="str">
        <f t="shared" si="3"/>
        <v>/</v>
      </c>
      <c r="D60" s="112">
        <f t="shared" si="1"/>
        <v>28750.75</v>
      </c>
      <c r="E60" s="245"/>
      <c r="F60" s="58"/>
      <c r="G60" s="55"/>
      <c r="H60" s="247"/>
      <c r="I60" s="245"/>
      <c r="J60" s="58"/>
      <c r="K60" s="58"/>
      <c r="L60" s="247"/>
      <c r="M60" s="245"/>
      <c r="N60" s="58"/>
      <c r="O60" s="58"/>
      <c r="P60" s="247"/>
      <c r="Q60" s="245">
        <f>Q44+1</f>
        <v>4</v>
      </c>
      <c r="R60" s="252">
        <f>28500.5-980+56*Q60</f>
        <v>27744.5</v>
      </c>
      <c r="S60" s="55" t="s">
        <v>106</v>
      </c>
      <c r="T60" s="246">
        <f>28500.5+28+56*Q60</f>
        <v>28752.5</v>
      </c>
      <c r="U60" s="245"/>
      <c r="V60" s="249"/>
      <c r="W60" s="249"/>
      <c r="X60" s="247"/>
      <c r="Y60" s="778"/>
    </row>
    <row r="61" spans="1:25" x14ac:dyDescent="0.25">
      <c r="A61" s="189">
        <f t="shared" si="2"/>
        <v>57</v>
      </c>
      <c r="B61" s="112">
        <f t="shared" si="0"/>
        <v>27746.25</v>
      </c>
      <c r="C61" s="58" t="str">
        <f t="shared" si="3"/>
        <v>/</v>
      </c>
      <c r="D61" s="112">
        <f t="shared" si="1"/>
        <v>28754.25</v>
      </c>
      <c r="E61" s="245">
        <f>E59+1</f>
        <v>29</v>
      </c>
      <c r="F61" s="58">
        <f>28500.5-955.5+7*E61</f>
        <v>27748</v>
      </c>
      <c r="G61" s="55" t="s">
        <v>106</v>
      </c>
      <c r="H61" s="246">
        <f>28500.5+52.5+7*E61</f>
        <v>28756</v>
      </c>
      <c r="I61" s="245"/>
      <c r="J61" s="58"/>
      <c r="K61" s="55"/>
      <c r="L61" s="247"/>
      <c r="M61" s="245"/>
      <c r="N61" s="58"/>
      <c r="O61" s="58"/>
      <c r="P61" s="247"/>
      <c r="Q61" s="245"/>
      <c r="R61" s="248"/>
      <c r="S61" s="249"/>
      <c r="T61" s="247"/>
      <c r="U61" s="245"/>
      <c r="V61" s="249"/>
      <c r="W61" s="249"/>
      <c r="X61" s="247"/>
      <c r="Y61" s="778"/>
    </row>
    <row r="62" spans="1:25" x14ac:dyDescent="0.25">
      <c r="A62" s="189">
        <f t="shared" si="2"/>
        <v>58</v>
      </c>
      <c r="B62" s="112">
        <f t="shared" si="0"/>
        <v>27749.75</v>
      </c>
      <c r="C62" s="58" t="str">
        <f t="shared" si="3"/>
        <v>/</v>
      </c>
      <c r="D62" s="112">
        <f t="shared" si="1"/>
        <v>28757.75</v>
      </c>
      <c r="E62" s="245"/>
      <c r="F62" s="58"/>
      <c r="G62" s="55"/>
      <c r="H62" s="247"/>
      <c r="I62" s="245">
        <f>I58+1</f>
        <v>15</v>
      </c>
      <c r="J62" s="58">
        <f>28500.5-959+14*I62</f>
        <v>27751.5</v>
      </c>
      <c r="K62" s="55" t="s">
        <v>106</v>
      </c>
      <c r="L62" s="246">
        <f>28500.5+49+14*I62</f>
        <v>28759.5</v>
      </c>
      <c r="M62" s="245"/>
      <c r="N62" s="58"/>
      <c r="O62" s="58"/>
      <c r="P62" s="247"/>
      <c r="Q62" s="245"/>
      <c r="R62" s="248"/>
      <c r="S62" s="249"/>
      <c r="T62" s="247"/>
      <c r="U62" s="245"/>
      <c r="V62" s="249"/>
      <c r="W62" s="249"/>
      <c r="X62" s="247"/>
      <c r="Y62" s="778"/>
    </row>
    <row r="63" spans="1:25" x14ac:dyDescent="0.25">
      <c r="A63" s="189">
        <f t="shared" si="2"/>
        <v>59</v>
      </c>
      <c r="B63" s="112">
        <f t="shared" si="0"/>
        <v>27753.25</v>
      </c>
      <c r="C63" s="58" t="str">
        <f t="shared" si="3"/>
        <v>/</v>
      </c>
      <c r="D63" s="112">
        <f t="shared" si="1"/>
        <v>28761.25</v>
      </c>
      <c r="E63" s="245">
        <f>E61+1</f>
        <v>30</v>
      </c>
      <c r="F63" s="58">
        <f>28500.5-955.5+7*E63</f>
        <v>27755</v>
      </c>
      <c r="G63" s="55" t="s">
        <v>106</v>
      </c>
      <c r="H63" s="246">
        <f>28500.5+52.5+7*E63</f>
        <v>28763</v>
      </c>
      <c r="I63" s="245"/>
      <c r="J63" s="58"/>
      <c r="K63" s="58"/>
      <c r="L63" s="246"/>
      <c r="M63" s="245"/>
      <c r="N63" s="58"/>
      <c r="O63" s="55"/>
      <c r="P63" s="247"/>
      <c r="Q63" s="245"/>
      <c r="R63" s="248"/>
      <c r="S63" s="249"/>
      <c r="T63" s="247"/>
      <c r="U63" s="245"/>
      <c r="V63" s="249"/>
      <c r="W63" s="249"/>
      <c r="X63" s="247"/>
      <c r="Y63" s="778"/>
    </row>
    <row r="64" spans="1:25" x14ac:dyDescent="0.25">
      <c r="A64" s="189">
        <f t="shared" si="2"/>
        <v>60</v>
      </c>
      <c r="B64" s="112">
        <f t="shared" si="0"/>
        <v>27756.75</v>
      </c>
      <c r="C64" s="58" t="str">
        <f t="shared" si="3"/>
        <v>/</v>
      </c>
      <c r="D64" s="112">
        <f t="shared" si="1"/>
        <v>28764.75</v>
      </c>
      <c r="E64" s="245"/>
      <c r="F64" s="58"/>
      <c r="G64" s="55"/>
      <c r="H64" s="247"/>
      <c r="I64" s="245"/>
      <c r="J64" s="58"/>
      <c r="K64" s="58"/>
      <c r="L64" s="247"/>
      <c r="M64" s="245">
        <f>M56+1</f>
        <v>8</v>
      </c>
      <c r="N64" s="58">
        <f>28500.5-966+28*M64</f>
        <v>27758.5</v>
      </c>
      <c r="O64" s="55" t="s">
        <v>106</v>
      </c>
      <c r="P64" s="246">
        <f>28500.5+42+28*M64</f>
        <v>28766.5</v>
      </c>
      <c r="Q64" s="245"/>
      <c r="R64" s="248"/>
      <c r="S64" s="249"/>
      <c r="T64" s="247"/>
      <c r="U64" s="245"/>
      <c r="V64" s="249"/>
      <c r="W64" s="249"/>
      <c r="X64" s="247"/>
      <c r="Y64" s="778"/>
    </row>
    <row r="65" spans="1:25" x14ac:dyDescent="0.25">
      <c r="A65" s="189">
        <f t="shared" si="2"/>
        <v>61</v>
      </c>
      <c r="B65" s="112">
        <f t="shared" si="0"/>
        <v>27760.25</v>
      </c>
      <c r="C65" s="58" t="str">
        <f t="shared" si="3"/>
        <v>/</v>
      </c>
      <c r="D65" s="112">
        <f t="shared" si="1"/>
        <v>28768.25</v>
      </c>
      <c r="E65" s="245">
        <f>E63+1</f>
        <v>31</v>
      </c>
      <c r="F65" s="58">
        <f>28500.5-955.5+7*E65</f>
        <v>27762</v>
      </c>
      <c r="G65" s="55" t="s">
        <v>106</v>
      </c>
      <c r="H65" s="246">
        <f>28500.5+52.5+7*E65</f>
        <v>28770</v>
      </c>
      <c r="I65" s="245"/>
      <c r="J65" s="58"/>
      <c r="K65" s="55"/>
      <c r="L65" s="247"/>
      <c r="M65" s="245"/>
      <c r="N65" s="58"/>
      <c r="O65" s="58"/>
      <c r="P65" s="247"/>
      <c r="Q65" s="245"/>
      <c r="R65" s="248"/>
      <c r="S65" s="249"/>
      <c r="T65" s="247"/>
      <c r="U65" s="245"/>
      <c r="V65" s="249"/>
      <c r="W65" s="249"/>
      <c r="X65" s="247"/>
      <c r="Y65" s="778"/>
    </row>
    <row r="66" spans="1:25" x14ac:dyDescent="0.25">
      <c r="A66" s="189">
        <f t="shared" si="2"/>
        <v>62</v>
      </c>
      <c r="B66" s="112">
        <f t="shared" si="0"/>
        <v>27763.75</v>
      </c>
      <c r="C66" s="58" t="str">
        <f t="shared" si="3"/>
        <v>/</v>
      </c>
      <c r="D66" s="112">
        <f t="shared" si="1"/>
        <v>28771.75</v>
      </c>
      <c r="E66" s="245"/>
      <c r="F66" s="58"/>
      <c r="G66" s="55"/>
      <c r="H66" s="247"/>
      <c r="I66" s="245">
        <f>I62+1</f>
        <v>16</v>
      </c>
      <c r="J66" s="58">
        <f>28500.5-959+14*I66</f>
        <v>27765.5</v>
      </c>
      <c r="K66" s="55" t="s">
        <v>106</v>
      </c>
      <c r="L66" s="246">
        <f>28500.5+49+14*I66</f>
        <v>28773.5</v>
      </c>
      <c r="M66" s="245"/>
      <c r="N66" s="58"/>
      <c r="O66" s="58"/>
      <c r="P66" s="247"/>
      <c r="Q66" s="245"/>
      <c r="R66" s="248"/>
      <c r="S66" s="249"/>
      <c r="T66" s="247"/>
      <c r="U66" s="245"/>
      <c r="V66" s="249"/>
      <c r="W66" s="249"/>
      <c r="X66" s="247"/>
      <c r="Y66" s="778"/>
    </row>
    <row r="67" spans="1:25" x14ac:dyDescent="0.25">
      <c r="A67" s="189">
        <f t="shared" si="2"/>
        <v>63</v>
      </c>
      <c r="B67" s="112">
        <f t="shared" si="0"/>
        <v>27767.25</v>
      </c>
      <c r="C67" s="58" t="str">
        <f t="shared" si="3"/>
        <v>/</v>
      </c>
      <c r="D67" s="112">
        <f t="shared" si="1"/>
        <v>28775.25</v>
      </c>
      <c r="E67" s="245">
        <f>E65+1</f>
        <v>32</v>
      </c>
      <c r="F67" s="58">
        <f>28500.5-955.5+7*E67</f>
        <v>27769</v>
      </c>
      <c r="G67" s="55" t="s">
        <v>106</v>
      </c>
      <c r="H67" s="246">
        <f>28500.5+52.5+7*E67</f>
        <v>28777</v>
      </c>
      <c r="I67" s="245"/>
      <c r="J67" s="58"/>
      <c r="K67" s="58"/>
      <c r="L67" s="246"/>
      <c r="M67" s="245"/>
      <c r="N67" s="58"/>
      <c r="O67" s="58"/>
      <c r="P67" s="247"/>
      <c r="Q67" s="245"/>
      <c r="R67" s="248"/>
      <c r="S67" s="249"/>
      <c r="T67" s="247"/>
      <c r="U67" s="245"/>
      <c r="V67" s="249"/>
      <c r="W67" s="249"/>
      <c r="X67" s="247"/>
      <c r="Y67" s="778"/>
    </row>
    <row r="68" spans="1:25" x14ac:dyDescent="0.25">
      <c r="A68" s="189">
        <f t="shared" si="2"/>
        <v>64</v>
      </c>
      <c r="B68" s="256">
        <f t="shared" si="0"/>
        <v>27770.75</v>
      </c>
      <c r="C68" s="259" t="str">
        <f t="shared" si="3"/>
        <v>/</v>
      </c>
      <c r="D68" s="256">
        <f t="shared" si="1"/>
        <v>28778.75</v>
      </c>
      <c r="E68" s="258"/>
      <c r="F68" s="259"/>
      <c r="G68" s="260"/>
      <c r="H68" s="261"/>
      <c r="I68" s="258"/>
      <c r="J68" s="259"/>
      <c r="K68" s="259"/>
      <c r="L68" s="261"/>
      <c r="M68" s="258"/>
      <c r="N68" s="259"/>
      <c r="O68" s="259"/>
      <c r="P68" s="261"/>
      <c r="Q68" s="258"/>
      <c r="R68" s="262"/>
      <c r="S68" s="263"/>
      <c r="T68" s="261"/>
      <c r="U68" s="245"/>
      <c r="V68" s="249"/>
      <c r="W68" s="249"/>
      <c r="X68" s="247"/>
      <c r="Y68" s="778"/>
    </row>
    <row r="69" spans="1:25" x14ac:dyDescent="0.25">
      <c r="A69" s="189">
        <f t="shared" si="2"/>
        <v>65</v>
      </c>
      <c r="B69" s="112">
        <f t="shared" ref="B69:B132" si="4">28500.5-953.75+3.5*A69</f>
        <v>27774.25</v>
      </c>
      <c r="C69" s="58" t="str">
        <f t="shared" si="3"/>
        <v>/</v>
      </c>
      <c r="D69" s="112">
        <f t="shared" ref="D69:D132" si="5">28500.5+54.25+3.5*A69</f>
        <v>28782.25</v>
      </c>
      <c r="E69" s="245">
        <f>E67+1</f>
        <v>33</v>
      </c>
      <c r="F69" s="58">
        <f>28500.5-955.5+7*E69</f>
        <v>27776</v>
      </c>
      <c r="G69" s="55" t="s">
        <v>106</v>
      </c>
      <c r="H69" s="246">
        <f>28500.5+52.5+7*E69</f>
        <v>28784</v>
      </c>
      <c r="I69" s="245"/>
      <c r="J69" s="58"/>
      <c r="K69" s="55"/>
      <c r="L69" s="247"/>
      <c r="M69" s="245"/>
      <c r="N69" s="58"/>
      <c r="O69" s="58"/>
      <c r="P69" s="247"/>
      <c r="Q69" s="245"/>
      <c r="R69" s="248"/>
      <c r="S69" s="249"/>
      <c r="T69" s="247"/>
      <c r="U69" s="245"/>
      <c r="V69" s="249"/>
      <c r="W69" s="249"/>
      <c r="X69" s="247"/>
      <c r="Y69" s="778"/>
    </row>
    <row r="70" spans="1:25" x14ac:dyDescent="0.25">
      <c r="A70" s="189">
        <f t="shared" ref="A70:A133" si="6">A69+1</f>
        <v>66</v>
      </c>
      <c r="B70" s="112">
        <f t="shared" si="4"/>
        <v>27777.75</v>
      </c>
      <c r="C70" s="58" t="str">
        <f t="shared" ref="C70:C133" si="7">C69</f>
        <v>/</v>
      </c>
      <c r="D70" s="112">
        <f t="shared" si="5"/>
        <v>28785.75</v>
      </c>
      <c r="E70" s="245"/>
      <c r="F70" s="58"/>
      <c r="G70" s="55"/>
      <c r="H70" s="247"/>
      <c r="I70" s="245">
        <f>I66+1</f>
        <v>17</v>
      </c>
      <c r="J70" s="58">
        <f>28500.5-959+14*I70</f>
        <v>27779.5</v>
      </c>
      <c r="K70" s="55" t="s">
        <v>106</v>
      </c>
      <c r="L70" s="246">
        <f>28500.5+49+14*I70</f>
        <v>28787.5</v>
      </c>
      <c r="M70" s="245"/>
      <c r="N70" s="58"/>
      <c r="O70" s="58"/>
      <c r="P70" s="247"/>
      <c r="Q70" s="245"/>
      <c r="R70" s="248"/>
      <c r="S70" s="249"/>
      <c r="T70" s="247"/>
      <c r="U70" s="245"/>
      <c r="V70" s="249"/>
      <c r="W70" s="249"/>
      <c r="X70" s="247"/>
      <c r="Y70" s="778"/>
    </row>
    <row r="71" spans="1:25" x14ac:dyDescent="0.25">
      <c r="A71" s="189">
        <f t="shared" si="6"/>
        <v>67</v>
      </c>
      <c r="B71" s="112">
        <f t="shared" si="4"/>
        <v>27781.25</v>
      </c>
      <c r="C71" s="58" t="str">
        <f t="shared" si="7"/>
        <v>/</v>
      </c>
      <c r="D71" s="112">
        <f t="shared" si="5"/>
        <v>28789.25</v>
      </c>
      <c r="E71" s="245">
        <f>E69+1</f>
        <v>34</v>
      </c>
      <c r="F71" s="58">
        <f>28500.5-955.5+7*E71</f>
        <v>27783</v>
      </c>
      <c r="G71" s="55" t="s">
        <v>106</v>
      </c>
      <c r="H71" s="246">
        <f>28500.5+52.5+7*E71</f>
        <v>28791</v>
      </c>
      <c r="I71" s="245"/>
      <c r="J71" s="58"/>
      <c r="K71" s="58"/>
      <c r="L71" s="246"/>
      <c r="M71" s="245"/>
      <c r="N71" s="58"/>
      <c r="O71" s="55"/>
      <c r="P71" s="247"/>
      <c r="Q71" s="245"/>
      <c r="R71" s="248"/>
      <c r="S71" s="249"/>
      <c r="T71" s="247"/>
      <c r="U71" s="245"/>
      <c r="V71" s="249"/>
      <c r="W71" s="249"/>
      <c r="X71" s="247"/>
      <c r="Y71" s="778"/>
    </row>
    <row r="72" spans="1:25" x14ac:dyDescent="0.25">
      <c r="A72" s="189">
        <f t="shared" si="6"/>
        <v>68</v>
      </c>
      <c r="B72" s="112">
        <f t="shared" si="4"/>
        <v>27784.75</v>
      </c>
      <c r="C72" s="58" t="str">
        <f t="shared" si="7"/>
        <v>/</v>
      </c>
      <c r="D72" s="112">
        <f t="shared" si="5"/>
        <v>28792.75</v>
      </c>
      <c r="E72" s="245"/>
      <c r="F72" s="58"/>
      <c r="G72" s="55"/>
      <c r="H72" s="247"/>
      <c r="I72" s="245"/>
      <c r="J72" s="58"/>
      <c r="K72" s="58"/>
      <c r="L72" s="247"/>
      <c r="M72" s="245">
        <f>M64+1</f>
        <v>9</v>
      </c>
      <c r="N72" s="58">
        <f>28500.5-966+28*M72</f>
        <v>27786.5</v>
      </c>
      <c r="O72" s="55" t="s">
        <v>106</v>
      </c>
      <c r="P72" s="246">
        <f>28500.5+42+28*M72</f>
        <v>28794.5</v>
      </c>
      <c r="Q72" s="245"/>
      <c r="R72" s="252"/>
      <c r="S72" s="55"/>
      <c r="T72" s="246"/>
      <c r="U72" s="245"/>
      <c r="V72" s="249"/>
      <c r="W72" s="249"/>
      <c r="X72" s="247"/>
      <c r="Y72" s="778"/>
    </row>
    <row r="73" spans="1:25" x14ac:dyDescent="0.25">
      <c r="A73" s="189">
        <f t="shared" si="6"/>
        <v>69</v>
      </c>
      <c r="B73" s="112">
        <f t="shared" si="4"/>
        <v>27788.25</v>
      </c>
      <c r="C73" s="58" t="str">
        <f t="shared" si="7"/>
        <v>/</v>
      </c>
      <c r="D73" s="112">
        <f t="shared" si="5"/>
        <v>28796.25</v>
      </c>
      <c r="E73" s="245">
        <f>E71+1</f>
        <v>35</v>
      </c>
      <c r="F73" s="58">
        <f>28500.5-955.5+7*E73</f>
        <v>27790</v>
      </c>
      <c r="G73" s="55" t="s">
        <v>106</v>
      </c>
      <c r="H73" s="246">
        <f>28500.5+52.5+7*E73</f>
        <v>28798</v>
      </c>
      <c r="I73" s="245"/>
      <c r="J73" s="58"/>
      <c r="K73" s="55"/>
      <c r="L73" s="247"/>
      <c r="M73" s="245"/>
      <c r="N73" s="58"/>
      <c r="O73" s="58"/>
      <c r="P73" s="247"/>
      <c r="Q73" s="245"/>
      <c r="R73" s="248"/>
      <c r="S73" s="249"/>
      <c r="T73" s="247"/>
      <c r="U73" s="245"/>
      <c r="V73" s="249"/>
      <c r="W73" s="249"/>
      <c r="X73" s="247"/>
      <c r="Y73" s="778"/>
    </row>
    <row r="74" spans="1:25" x14ac:dyDescent="0.25">
      <c r="A74" s="189">
        <f t="shared" si="6"/>
        <v>70</v>
      </c>
      <c r="B74" s="112">
        <f t="shared" si="4"/>
        <v>27791.75</v>
      </c>
      <c r="C74" s="58" t="str">
        <f t="shared" si="7"/>
        <v>/</v>
      </c>
      <c r="D74" s="112">
        <f t="shared" si="5"/>
        <v>28799.75</v>
      </c>
      <c r="E74" s="245"/>
      <c r="F74" s="58"/>
      <c r="G74" s="55"/>
      <c r="H74" s="247"/>
      <c r="I74" s="245">
        <f>I70+1</f>
        <v>18</v>
      </c>
      <c r="J74" s="58">
        <f>28500.5-959+14*I74</f>
        <v>27793.5</v>
      </c>
      <c r="K74" s="55" t="s">
        <v>106</v>
      </c>
      <c r="L74" s="246">
        <f>28500.5+49+14*I74</f>
        <v>28801.5</v>
      </c>
      <c r="M74" s="245"/>
      <c r="N74" s="58"/>
      <c r="O74" s="58"/>
      <c r="P74" s="247"/>
      <c r="Q74" s="245"/>
      <c r="R74" s="248"/>
      <c r="S74" s="249"/>
      <c r="T74" s="247"/>
      <c r="U74" s="245"/>
      <c r="V74" s="249"/>
      <c r="W74" s="249"/>
      <c r="X74" s="247"/>
      <c r="Y74" s="778"/>
    </row>
    <row r="75" spans="1:25" x14ac:dyDescent="0.25">
      <c r="A75" s="189">
        <f t="shared" si="6"/>
        <v>71</v>
      </c>
      <c r="B75" s="112">
        <f t="shared" si="4"/>
        <v>27795.25</v>
      </c>
      <c r="C75" s="58" t="str">
        <f t="shared" si="7"/>
        <v>/</v>
      </c>
      <c r="D75" s="112">
        <f t="shared" si="5"/>
        <v>28803.25</v>
      </c>
      <c r="E75" s="245">
        <f>E73+1</f>
        <v>36</v>
      </c>
      <c r="F75" s="58">
        <f>28500.5-955.5+7*E75</f>
        <v>27797</v>
      </c>
      <c r="G75" s="55" t="s">
        <v>106</v>
      </c>
      <c r="H75" s="246">
        <f>28500.5+52.5+7*E75</f>
        <v>28805</v>
      </c>
      <c r="I75" s="245"/>
      <c r="J75" s="58"/>
      <c r="K75" s="58"/>
      <c r="L75" s="246"/>
      <c r="M75" s="245"/>
      <c r="N75" s="58"/>
      <c r="O75" s="58"/>
      <c r="P75" s="247"/>
      <c r="Q75" s="245"/>
      <c r="R75" s="248"/>
      <c r="S75" s="249"/>
      <c r="T75" s="247"/>
      <c r="U75" s="245"/>
      <c r="V75" s="249"/>
      <c r="W75" s="249"/>
      <c r="X75" s="247"/>
      <c r="Y75" s="778"/>
    </row>
    <row r="76" spans="1:25" x14ac:dyDescent="0.25">
      <c r="A76" s="189">
        <f t="shared" si="6"/>
        <v>72</v>
      </c>
      <c r="B76" s="112">
        <f t="shared" si="4"/>
        <v>27798.75</v>
      </c>
      <c r="C76" s="58" t="str">
        <f t="shared" si="7"/>
        <v>/</v>
      </c>
      <c r="D76" s="112">
        <f t="shared" si="5"/>
        <v>28806.75</v>
      </c>
      <c r="E76" s="245"/>
      <c r="F76" s="58"/>
      <c r="G76" s="55"/>
      <c r="H76" s="247"/>
      <c r="I76" s="245"/>
      <c r="J76" s="58"/>
      <c r="K76" s="58"/>
      <c r="L76" s="247"/>
      <c r="M76" s="245"/>
      <c r="N76" s="58"/>
      <c r="O76" s="58"/>
      <c r="P76" s="247"/>
      <c r="Q76" s="245">
        <f>Q60+1</f>
        <v>5</v>
      </c>
      <c r="R76" s="252">
        <f>28500.5-980+56*Q76</f>
        <v>27800.5</v>
      </c>
      <c r="S76" s="55" t="s">
        <v>106</v>
      </c>
      <c r="T76" s="246">
        <f>28500.5+28+56*Q76</f>
        <v>28808.5</v>
      </c>
      <c r="U76" s="245"/>
      <c r="V76" s="249"/>
      <c r="W76" s="249"/>
      <c r="X76" s="247"/>
      <c r="Y76" s="778"/>
    </row>
    <row r="77" spans="1:25" x14ac:dyDescent="0.25">
      <c r="A77" s="189">
        <f t="shared" si="6"/>
        <v>73</v>
      </c>
      <c r="B77" s="112">
        <f t="shared" si="4"/>
        <v>27802.25</v>
      </c>
      <c r="C77" s="58" t="str">
        <f t="shared" si="7"/>
        <v>/</v>
      </c>
      <c r="D77" s="112">
        <f t="shared" si="5"/>
        <v>28810.25</v>
      </c>
      <c r="E77" s="245">
        <f>E75+1</f>
        <v>37</v>
      </c>
      <c r="F77" s="58">
        <f>28500.5-955.5+7*E77</f>
        <v>27804</v>
      </c>
      <c r="G77" s="55" t="s">
        <v>106</v>
      </c>
      <c r="H77" s="246">
        <f>28500.5+52.5+7*E77</f>
        <v>28812</v>
      </c>
      <c r="I77" s="245"/>
      <c r="J77" s="58"/>
      <c r="K77" s="58"/>
      <c r="L77" s="247"/>
      <c r="M77" s="245"/>
      <c r="N77" s="58"/>
      <c r="O77" s="58"/>
      <c r="P77" s="247"/>
      <c r="Q77" s="245"/>
      <c r="R77" s="248"/>
      <c r="S77" s="249"/>
      <c r="T77" s="247"/>
      <c r="U77" s="245"/>
      <c r="V77" s="249"/>
      <c r="W77" s="249"/>
      <c r="X77" s="247"/>
      <c r="Y77" s="778"/>
    </row>
    <row r="78" spans="1:25" x14ac:dyDescent="0.25">
      <c r="A78" s="189">
        <f t="shared" si="6"/>
        <v>74</v>
      </c>
      <c r="B78" s="112">
        <f t="shared" si="4"/>
        <v>27805.75</v>
      </c>
      <c r="C78" s="58" t="str">
        <f t="shared" si="7"/>
        <v>/</v>
      </c>
      <c r="D78" s="112">
        <f t="shared" si="5"/>
        <v>28813.75</v>
      </c>
      <c r="E78" s="245"/>
      <c r="F78" s="58"/>
      <c r="G78" s="55"/>
      <c r="H78" s="247"/>
      <c r="I78" s="245">
        <f>I74+1</f>
        <v>19</v>
      </c>
      <c r="J78" s="58">
        <f>28500.5-959+14*I78</f>
        <v>27807.5</v>
      </c>
      <c r="K78" s="55" t="s">
        <v>106</v>
      </c>
      <c r="L78" s="246">
        <f>28500.5+49+14*I78</f>
        <v>28815.5</v>
      </c>
      <c r="M78" s="245"/>
      <c r="N78" s="58"/>
      <c r="O78" s="58"/>
      <c r="P78" s="247"/>
      <c r="Q78" s="245"/>
      <c r="R78" s="248"/>
      <c r="S78" s="249"/>
      <c r="T78" s="247"/>
      <c r="U78" s="245"/>
      <c r="V78" s="249"/>
      <c r="W78" s="249"/>
      <c r="X78" s="247"/>
      <c r="Y78" s="778"/>
    </row>
    <row r="79" spans="1:25" x14ac:dyDescent="0.25">
      <c r="A79" s="189">
        <f t="shared" si="6"/>
        <v>75</v>
      </c>
      <c r="B79" s="112">
        <f t="shared" si="4"/>
        <v>27809.25</v>
      </c>
      <c r="C79" s="58" t="str">
        <f t="shared" si="7"/>
        <v>/</v>
      </c>
      <c r="D79" s="112">
        <f t="shared" si="5"/>
        <v>28817.25</v>
      </c>
      <c r="E79" s="245">
        <f>E77+1</f>
        <v>38</v>
      </c>
      <c r="F79" s="58">
        <f>28500.5-955.5+7*E79</f>
        <v>27811</v>
      </c>
      <c r="G79" s="55" t="s">
        <v>106</v>
      </c>
      <c r="H79" s="246">
        <f>28500.5+52.5+7*E79</f>
        <v>28819</v>
      </c>
      <c r="I79" s="245"/>
      <c r="J79" s="58"/>
      <c r="K79" s="58"/>
      <c r="L79" s="246"/>
      <c r="M79" s="245"/>
      <c r="N79" s="58"/>
      <c r="O79" s="58"/>
      <c r="P79" s="247"/>
      <c r="Q79" s="245"/>
      <c r="R79" s="248"/>
      <c r="S79" s="249"/>
      <c r="T79" s="247"/>
      <c r="U79" s="245"/>
      <c r="V79" s="249"/>
      <c r="W79" s="249"/>
      <c r="X79" s="247"/>
      <c r="Y79" s="778"/>
    </row>
    <row r="80" spans="1:25" x14ac:dyDescent="0.25">
      <c r="A80" s="189">
        <f t="shared" si="6"/>
        <v>76</v>
      </c>
      <c r="B80" s="112">
        <f t="shared" si="4"/>
        <v>27812.75</v>
      </c>
      <c r="C80" s="58" t="str">
        <f t="shared" si="7"/>
        <v>/</v>
      </c>
      <c r="D80" s="112">
        <f t="shared" si="5"/>
        <v>28820.75</v>
      </c>
      <c r="E80" s="245"/>
      <c r="F80" s="58"/>
      <c r="G80" s="55"/>
      <c r="H80" s="247"/>
      <c r="I80" s="245"/>
      <c r="J80" s="58"/>
      <c r="K80" s="58"/>
      <c r="L80" s="247"/>
      <c r="M80" s="245">
        <f>M72+1</f>
        <v>10</v>
      </c>
      <c r="N80" s="58">
        <f>28500.5-966+28*M80</f>
        <v>27814.5</v>
      </c>
      <c r="O80" s="55" t="s">
        <v>106</v>
      </c>
      <c r="P80" s="246">
        <f>28500.5+42+28*M80</f>
        <v>28822.5</v>
      </c>
      <c r="Q80" s="245"/>
      <c r="R80" s="248"/>
      <c r="S80" s="249"/>
      <c r="T80" s="247"/>
      <c r="U80" s="245"/>
      <c r="V80" s="249"/>
      <c r="W80" s="249"/>
      <c r="X80" s="247"/>
      <c r="Y80" s="778"/>
    </row>
    <row r="81" spans="1:25" x14ac:dyDescent="0.25">
      <c r="A81" s="189">
        <f t="shared" si="6"/>
        <v>77</v>
      </c>
      <c r="B81" s="112">
        <f t="shared" si="4"/>
        <v>27816.25</v>
      </c>
      <c r="C81" s="58" t="str">
        <f t="shared" si="7"/>
        <v>/</v>
      </c>
      <c r="D81" s="112">
        <f t="shared" si="5"/>
        <v>28824.25</v>
      </c>
      <c r="E81" s="245">
        <f>E79+1</f>
        <v>39</v>
      </c>
      <c r="F81" s="58">
        <f>28500.5-955.5+7*E81</f>
        <v>27818</v>
      </c>
      <c r="G81" s="55" t="s">
        <v>106</v>
      </c>
      <c r="H81" s="246">
        <f>28500.5+52.5+7*E81</f>
        <v>28826</v>
      </c>
      <c r="I81" s="245"/>
      <c r="J81" s="58"/>
      <c r="K81" s="58"/>
      <c r="L81" s="247"/>
      <c r="M81" s="245"/>
      <c r="N81" s="58"/>
      <c r="O81" s="58"/>
      <c r="P81" s="247"/>
      <c r="Q81" s="245"/>
      <c r="R81" s="248"/>
      <c r="S81" s="249"/>
      <c r="T81" s="247"/>
      <c r="U81" s="245"/>
      <c r="V81" s="249"/>
      <c r="W81" s="249"/>
      <c r="X81" s="247"/>
      <c r="Y81" s="778"/>
    </row>
    <row r="82" spans="1:25" x14ac:dyDescent="0.25">
      <c r="A82" s="189">
        <f t="shared" si="6"/>
        <v>78</v>
      </c>
      <c r="B82" s="112">
        <f t="shared" si="4"/>
        <v>27819.75</v>
      </c>
      <c r="C82" s="58" t="str">
        <f t="shared" si="7"/>
        <v>/</v>
      </c>
      <c r="D82" s="112">
        <f t="shared" si="5"/>
        <v>28827.75</v>
      </c>
      <c r="E82" s="245"/>
      <c r="F82" s="58"/>
      <c r="G82" s="55"/>
      <c r="H82" s="247"/>
      <c r="I82" s="245">
        <f>I78+1</f>
        <v>20</v>
      </c>
      <c r="J82" s="58">
        <f>28500.5-959+14*I82</f>
        <v>27821.5</v>
      </c>
      <c r="K82" s="55" t="s">
        <v>106</v>
      </c>
      <c r="L82" s="246">
        <f>28500.5+49+14*I82</f>
        <v>28829.5</v>
      </c>
      <c r="M82" s="245"/>
      <c r="N82" s="58"/>
      <c r="O82" s="58"/>
      <c r="P82" s="247"/>
      <c r="Q82" s="245"/>
      <c r="R82" s="248"/>
      <c r="S82" s="249"/>
      <c r="T82" s="247"/>
      <c r="U82" s="245"/>
      <c r="V82" s="249"/>
      <c r="W82" s="249"/>
      <c r="X82" s="247"/>
      <c r="Y82" s="778"/>
    </row>
    <row r="83" spans="1:25" ht="15.75" thickBot="1" x14ac:dyDescent="0.3">
      <c r="A83" s="189">
        <f t="shared" si="6"/>
        <v>79</v>
      </c>
      <c r="B83" s="112">
        <f t="shared" si="4"/>
        <v>27823.25</v>
      </c>
      <c r="C83" s="58" t="str">
        <f t="shared" si="7"/>
        <v>/</v>
      </c>
      <c r="D83" s="112">
        <f t="shared" si="5"/>
        <v>28831.25</v>
      </c>
      <c r="E83" s="245">
        <f>E81+1</f>
        <v>40</v>
      </c>
      <c r="F83" s="58">
        <f>28500.5-955.5+7*E83</f>
        <v>27825</v>
      </c>
      <c r="G83" s="55" t="s">
        <v>106</v>
      </c>
      <c r="H83" s="246">
        <f>28500.5+52.5+7*E83</f>
        <v>28833</v>
      </c>
      <c r="I83" s="245"/>
      <c r="J83" s="58"/>
      <c r="K83" s="58"/>
      <c r="L83" s="246"/>
      <c r="M83" s="245"/>
      <c r="N83" s="58"/>
      <c r="O83" s="58"/>
      <c r="P83" s="247"/>
      <c r="Q83" s="245"/>
      <c r="R83" s="248"/>
      <c r="S83" s="249"/>
      <c r="T83" s="247"/>
      <c r="U83" s="245"/>
      <c r="V83" s="249"/>
      <c r="W83" s="249"/>
      <c r="X83" s="56"/>
      <c r="Y83" s="787"/>
    </row>
    <row r="84" spans="1:25" x14ac:dyDescent="0.25">
      <c r="A84" s="189">
        <f t="shared" si="6"/>
        <v>80</v>
      </c>
      <c r="B84" s="256">
        <f t="shared" si="4"/>
        <v>27826.75</v>
      </c>
      <c r="C84" s="259" t="str">
        <f t="shared" si="7"/>
        <v>/</v>
      </c>
      <c r="D84" s="256">
        <f t="shared" si="5"/>
        <v>28834.75</v>
      </c>
      <c r="E84" s="258"/>
      <c r="F84" s="259"/>
      <c r="G84" s="260"/>
      <c r="H84" s="261"/>
      <c r="I84" s="258"/>
      <c r="J84" s="259"/>
      <c r="K84" s="259"/>
      <c r="L84" s="261"/>
      <c r="M84" s="258"/>
      <c r="N84" s="259"/>
      <c r="O84" s="259"/>
      <c r="P84" s="261"/>
      <c r="Q84" s="258"/>
      <c r="R84" s="262"/>
      <c r="S84" s="263"/>
      <c r="T84" s="261"/>
      <c r="U84" s="245">
        <f>U52+1</f>
        <v>3</v>
      </c>
      <c r="V84" s="58">
        <f>28500.5-1008+112*U84</f>
        <v>27828.5</v>
      </c>
      <c r="W84" s="55" t="s">
        <v>106</v>
      </c>
      <c r="X84" s="246">
        <f>28500.5+112*U84</f>
        <v>28836.5</v>
      </c>
      <c r="Y84" s="786"/>
    </row>
    <row r="85" spans="1:25" x14ac:dyDescent="0.25">
      <c r="A85" s="189">
        <f t="shared" si="6"/>
        <v>81</v>
      </c>
      <c r="B85" s="264">
        <f t="shared" si="4"/>
        <v>27830.25</v>
      </c>
      <c r="C85" s="58" t="str">
        <f t="shared" si="7"/>
        <v>/</v>
      </c>
      <c r="D85" s="778">
        <f t="shared" si="5"/>
        <v>28838.25</v>
      </c>
      <c r="E85" s="245">
        <f>E83+1</f>
        <v>41</v>
      </c>
      <c r="F85" s="265">
        <f>28500.5-955.5+7*E85</f>
        <v>27832</v>
      </c>
      <c r="G85" s="55" t="s">
        <v>106</v>
      </c>
      <c r="H85" s="778">
        <f>28500.5+52.5+7*E85</f>
        <v>28840</v>
      </c>
      <c r="I85" s="245"/>
      <c r="J85" s="265"/>
      <c r="K85" s="58"/>
      <c r="L85" s="778"/>
      <c r="M85" s="245"/>
      <c r="N85" s="265"/>
      <c r="O85" s="58"/>
      <c r="P85" s="778"/>
      <c r="Q85" s="245"/>
      <c r="R85" s="266"/>
      <c r="S85" s="249"/>
      <c r="T85" s="778"/>
      <c r="U85" s="245"/>
      <c r="V85" s="267"/>
      <c r="W85" s="249"/>
      <c r="X85" s="778"/>
      <c r="Y85" s="778"/>
    </row>
    <row r="86" spans="1:25" x14ac:dyDescent="0.25">
      <c r="A86" s="189">
        <f t="shared" si="6"/>
        <v>82</v>
      </c>
      <c r="B86" s="264">
        <f t="shared" si="4"/>
        <v>27833.75</v>
      </c>
      <c r="C86" s="58" t="str">
        <f t="shared" si="7"/>
        <v>/</v>
      </c>
      <c r="D86" s="778">
        <f t="shared" si="5"/>
        <v>28841.75</v>
      </c>
      <c r="E86" s="245"/>
      <c r="F86" s="265"/>
      <c r="G86" s="55"/>
      <c r="H86" s="778"/>
      <c r="I86" s="245">
        <f>I82+1</f>
        <v>21</v>
      </c>
      <c r="J86" s="265">
        <f>28500.5-959+14*I86</f>
        <v>27835.5</v>
      </c>
      <c r="K86" s="55" t="s">
        <v>106</v>
      </c>
      <c r="L86" s="778">
        <f>28500.5+49+14*I86</f>
        <v>28843.5</v>
      </c>
      <c r="M86" s="245"/>
      <c r="N86" s="265"/>
      <c r="O86" s="58"/>
      <c r="P86" s="778"/>
      <c r="Q86" s="245"/>
      <c r="R86" s="266"/>
      <c r="S86" s="249"/>
      <c r="T86" s="778"/>
      <c r="U86" s="245"/>
      <c r="V86" s="267"/>
      <c r="W86" s="249"/>
      <c r="X86" s="778"/>
      <c r="Y86" s="778"/>
    </row>
    <row r="87" spans="1:25" x14ac:dyDescent="0.25">
      <c r="A87" s="189">
        <f t="shared" si="6"/>
        <v>83</v>
      </c>
      <c r="B87" s="264">
        <f t="shared" si="4"/>
        <v>27837.25</v>
      </c>
      <c r="C87" s="58" t="str">
        <f t="shared" si="7"/>
        <v>/</v>
      </c>
      <c r="D87" s="778">
        <f t="shared" si="5"/>
        <v>28845.25</v>
      </c>
      <c r="E87" s="245">
        <f>E85+1</f>
        <v>42</v>
      </c>
      <c r="F87" s="265">
        <f>28500.5-955.5+7*E87</f>
        <v>27839</v>
      </c>
      <c r="G87" s="55" t="s">
        <v>106</v>
      </c>
      <c r="H87" s="778">
        <f>28500.5+52.5+7*E87</f>
        <v>28847</v>
      </c>
      <c r="I87" s="245"/>
      <c r="J87" s="265"/>
      <c r="K87" s="58"/>
      <c r="L87" s="778"/>
      <c r="M87" s="245"/>
      <c r="N87" s="265"/>
      <c r="O87" s="58"/>
      <c r="P87" s="778"/>
      <c r="Q87" s="245"/>
      <c r="R87" s="266"/>
      <c r="S87" s="249"/>
      <c r="T87" s="778"/>
      <c r="U87" s="245"/>
      <c r="V87" s="267"/>
      <c r="W87" s="249"/>
      <c r="X87" s="778"/>
      <c r="Y87" s="778"/>
    </row>
    <row r="88" spans="1:25" x14ac:dyDescent="0.25">
      <c r="A88" s="189">
        <f t="shared" si="6"/>
        <v>84</v>
      </c>
      <c r="B88" s="264">
        <f t="shared" si="4"/>
        <v>27840.75</v>
      </c>
      <c r="C88" s="58" t="str">
        <f t="shared" si="7"/>
        <v>/</v>
      </c>
      <c r="D88" s="778">
        <f t="shared" si="5"/>
        <v>28848.75</v>
      </c>
      <c r="E88" s="245"/>
      <c r="F88" s="265"/>
      <c r="G88" s="55"/>
      <c r="H88" s="778"/>
      <c r="I88" s="245"/>
      <c r="J88" s="265"/>
      <c r="K88" s="58"/>
      <c r="L88" s="778"/>
      <c r="M88" s="245">
        <f>M80+1</f>
        <v>11</v>
      </c>
      <c r="N88" s="265">
        <f>28500.5-966+28*M88</f>
        <v>27842.5</v>
      </c>
      <c r="O88" s="55" t="s">
        <v>106</v>
      </c>
      <c r="P88" s="778">
        <f>28500.5+42+28*M88</f>
        <v>28850.5</v>
      </c>
      <c r="Q88" s="245"/>
      <c r="R88" s="268"/>
      <c r="S88" s="55"/>
      <c r="T88" s="778"/>
      <c r="U88" s="245"/>
      <c r="V88" s="265"/>
      <c r="W88" s="55"/>
      <c r="X88" s="778"/>
      <c r="Y88" s="778"/>
    </row>
    <row r="89" spans="1:25" x14ac:dyDescent="0.25">
      <c r="A89" s="189">
        <f t="shared" si="6"/>
        <v>85</v>
      </c>
      <c r="B89" s="264">
        <f t="shared" si="4"/>
        <v>27844.25</v>
      </c>
      <c r="C89" s="58" t="str">
        <f t="shared" si="7"/>
        <v>/</v>
      </c>
      <c r="D89" s="778">
        <f t="shared" si="5"/>
        <v>28852.25</v>
      </c>
      <c r="E89" s="245">
        <f>E87+1</f>
        <v>43</v>
      </c>
      <c r="F89" s="265">
        <f>28500.5-955.5+7*E89</f>
        <v>27846</v>
      </c>
      <c r="G89" s="55" t="s">
        <v>106</v>
      </c>
      <c r="H89" s="778">
        <f>28500.5+52.5+7*E89</f>
        <v>28854</v>
      </c>
      <c r="I89" s="245"/>
      <c r="J89" s="265"/>
      <c r="K89" s="58"/>
      <c r="L89" s="778"/>
      <c r="M89" s="245"/>
      <c r="N89" s="265"/>
      <c r="O89" s="58"/>
      <c r="P89" s="778"/>
      <c r="Q89" s="245"/>
      <c r="R89" s="266"/>
      <c r="S89" s="249"/>
      <c r="T89" s="778"/>
      <c r="U89" s="245"/>
      <c r="V89" s="267"/>
      <c r="W89" s="249"/>
      <c r="X89" s="778"/>
      <c r="Y89" s="778"/>
    </row>
    <row r="90" spans="1:25" x14ac:dyDescent="0.25">
      <c r="A90" s="189">
        <f t="shared" si="6"/>
        <v>86</v>
      </c>
      <c r="B90" s="264">
        <f t="shared" si="4"/>
        <v>27847.75</v>
      </c>
      <c r="C90" s="58" t="str">
        <f t="shared" si="7"/>
        <v>/</v>
      </c>
      <c r="D90" s="778">
        <f t="shared" si="5"/>
        <v>28855.75</v>
      </c>
      <c r="E90" s="245"/>
      <c r="F90" s="265"/>
      <c r="G90" s="55"/>
      <c r="H90" s="778"/>
      <c r="I90" s="245">
        <f>I86+1</f>
        <v>22</v>
      </c>
      <c r="J90" s="265">
        <f>28500.5-959+14*I90</f>
        <v>27849.5</v>
      </c>
      <c r="K90" s="55" t="s">
        <v>106</v>
      </c>
      <c r="L90" s="778">
        <f>28500.5+49+14*I90</f>
        <v>28857.5</v>
      </c>
      <c r="M90" s="245"/>
      <c r="N90" s="265"/>
      <c r="O90" s="58"/>
      <c r="P90" s="778"/>
      <c r="Q90" s="245"/>
      <c r="R90" s="266"/>
      <c r="S90" s="249"/>
      <c r="T90" s="778"/>
      <c r="U90" s="245"/>
      <c r="V90" s="267"/>
      <c r="W90" s="249"/>
      <c r="X90" s="778"/>
      <c r="Y90" s="778"/>
    </row>
    <row r="91" spans="1:25" x14ac:dyDescent="0.25">
      <c r="A91" s="189">
        <f t="shared" si="6"/>
        <v>87</v>
      </c>
      <c r="B91" s="264">
        <f t="shared" si="4"/>
        <v>27851.25</v>
      </c>
      <c r="C91" s="58" t="str">
        <f t="shared" si="7"/>
        <v>/</v>
      </c>
      <c r="D91" s="778">
        <f t="shared" si="5"/>
        <v>28859.25</v>
      </c>
      <c r="E91" s="245">
        <f>E89+1</f>
        <v>44</v>
      </c>
      <c r="F91" s="265">
        <f>28500.5-955.5+7*E91</f>
        <v>27853</v>
      </c>
      <c r="G91" s="55" t="s">
        <v>106</v>
      </c>
      <c r="H91" s="778">
        <f>28500.5+52.5+7*E91</f>
        <v>28861</v>
      </c>
      <c r="I91" s="245"/>
      <c r="J91" s="265"/>
      <c r="K91" s="58"/>
      <c r="L91" s="778"/>
      <c r="M91" s="245"/>
      <c r="N91" s="265"/>
      <c r="O91" s="58"/>
      <c r="P91" s="778"/>
      <c r="Q91" s="245"/>
      <c r="R91" s="266"/>
      <c r="S91" s="249"/>
      <c r="T91" s="778"/>
      <c r="U91" s="245"/>
      <c r="V91" s="267"/>
      <c r="W91" s="249"/>
      <c r="X91" s="778"/>
      <c r="Y91" s="778" t="s">
        <v>201</v>
      </c>
    </row>
    <row r="92" spans="1:25" x14ac:dyDescent="0.25">
      <c r="A92" s="189">
        <f t="shared" si="6"/>
        <v>88</v>
      </c>
      <c r="B92" s="264">
        <f t="shared" si="4"/>
        <v>27854.75</v>
      </c>
      <c r="C92" s="58" t="str">
        <f t="shared" si="7"/>
        <v>/</v>
      </c>
      <c r="D92" s="778">
        <f t="shared" si="5"/>
        <v>28862.75</v>
      </c>
      <c r="E92" s="245"/>
      <c r="F92" s="265"/>
      <c r="G92" s="55"/>
      <c r="H92" s="778"/>
      <c r="I92" s="245"/>
      <c r="J92" s="265"/>
      <c r="K92" s="58"/>
      <c r="L92" s="778"/>
      <c r="M92" s="245"/>
      <c r="N92" s="265"/>
      <c r="O92" s="58"/>
      <c r="P92" s="778"/>
      <c r="Q92" s="245">
        <f>Q76+1</f>
        <v>6</v>
      </c>
      <c r="R92" s="268">
        <f>28500.5-980+56*Q92</f>
        <v>27856.5</v>
      </c>
      <c r="S92" s="55" t="s">
        <v>106</v>
      </c>
      <c r="T92" s="778">
        <f>28500.5+28+56*Q92</f>
        <v>28864.5</v>
      </c>
      <c r="U92" s="245"/>
      <c r="V92" s="267"/>
      <c r="W92" s="249"/>
      <c r="X92" s="778"/>
      <c r="Y92" s="778" t="s">
        <v>202</v>
      </c>
    </row>
    <row r="93" spans="1:25" x14ac:dyDescent="0.25">
      <c r="A93" s="189">
        <f t="shared" si="6"/>
        <v>89</v>
      </c>
      <c r="B93" s="264">
        <f t="shared" si="4"/>
        <v>27858.25</v>
      </c>
      <c r="C93" s="58" t="str">
        <f t="shared" si="7"/>
        <v>/</v>
      </c>
      <c r="D93" s="778">
        <f t="shared" si="5"/>
        <v>28866.25</v>
      </c>
      <c r="E93" s="245">
        <f>E91+1</f>
        <v>45</v>
      </c>
      <c r="F93" s="265">
        <f>28500.5-955.5+7*E93</f>
        <v>27860</v>
      </c>
      <c r="G93" s="55" t="s">
        <v>106</v>
      </c>
      <c r="H93" s="778">
        <f>28500.5+52.5+7*E93</f>
        <v>28868</v>
      </c>
      <c r="I93" s="245"/>
      <c r="J93" s="265"/>
      <c r="K93" s="58"/>
      <c r="L93" s="778"/>
      <c r="M93" s="245"/>
      <c r="N93" s="265"/>
      <c r="O93" s="58"/>
      <c r="P93" s="778"/>
      <c r="Q93" s="245"/>
      <c r="R93" s="266"/>
      <c r="S93" s="249"/>
      <c r="T93" s="778"/>
      <c r="U93" s="245"/>
      <c r="V93" s="267"/>
      <c r="W93" s="249"/>
      <c r="X93" s="778"/>
      <c r="Y93" s="778" t="s">
        <v>203</v>
      </c>
    </row>
    <row r="94" spans="1:25" x14ac:dyDescent="0.25">
      <c r="A94" s="189">
        <f t="shared" si="6"/>
        <v>90</v>
      </c>
      <c r="B94" s="264">
        <f t="shared" si="4"/>
        <v>27861.75</v>
      </c>
      <c r="C94" s="58" t="str">
        <f t="shared" si="7"/>
        <v>/</v>
      </c>
      <c r="D94" s="778">
        <f t="shared" si="5"/>
        <v>28869.75</v>
      </c>
      <c r="E94" s="245"/>
      <c r="F94" s="265"/>
      <c r="G94" s="55"/>
      <c r="H94" s="778"/>
      <c r="I94" s="245">
        <f>I90+1</f>
        <v>23</v>
      </c>
      <c r="J94" s="265">
        <f>28500.5-959+14*I94</f>
        <v>27863.5</v>
      </c>
      <c r="K94" s="55" t="s">
        <v>106</v>
      </c>
      <c r="L94" s="778">
        <f>28500.5+49+14*I94</f>
        <v>28871.5</v>
      </c>
      <c r="M94" s="245"/>
      <c r="N94" s="265"/>
      <c r="O94" s="58"/>
      <c r="P94" s="778"/>
      <c r="Q94" s="245"/>
      <c r="R94" s="266"/>
      <c r="S94" s="249"/>
      <c r="T94" s="778"/>
      <c r="U94" s="245"/>
      <c r="V94" s="267"/>
      <c r="W94" s="249"/>
      <c r="X94" s="778"/>
      <c r="Y94" s="778" t="s">
        <v>204</v>
      </c>
    </row>
    <row r="95" spans="1:25" x14ac:dyDescent="0.25">
      <c r="A95" s="189">
        <f t="shared" si="6"/>
        <v>91</v>
      </c>
      <c r="B95" s="264">
        <f t="shared" si="4"/>
        <v>27865.25</v>
      </c>
      <c r="C95" s="58" t="str">
        <f t="shared" si="7"/>
        <v>/</v>
      </c>
      <c r="D95" s="778">
        <f t="shared" si="5"/>
        <v>28873.25</v>
      </c>
      <c r="E95" s="245">
        <f>E93+1</f>
        <v>46</v>
      </c>
      <c r="F95" s="265">
        <f>28500.5-955.5+7*E95</f>
        <v>27867</v>
      </c>
      <c r="G95" s="55" t="s">
        <v>106</v>
      </c>
      <c r="H95" s="778">
        <f>28500.5+52.5+7*E95</f>
        <v>28875</v>
      </c>
      <c r="I95" s="245"/>
      <c r="J95" s="265"/>
      <c r="K95" s="58"/>
      <c r="L95" s="778"/>
      <c r="M95" s="245"/>
      <c r="N95" s="265"/>
      <c r="O95" s="58"/>
      <c r="P95" s="778"/>
      <c r="Q95" s="245"/>
      <c r="R95" s="266"/>
      <c r="S95" s="249"/>
      <c r="T95" s="778"/>
      <c r="U95" s="245"/>
      <c r="V95" s="267"/>
      <c r="W95" s="249"/>
      <c r="X95" s="778"/>
      <c r="Y95" s="778" t="s">
        <v>205</v>
      </c>
    </row>
    <row r="96" spans="1:25" x14ac:dyDescent="0.25">
      <c r="A96" s="189">
        <f t="shared" si="6"/>
        <v>92</v>
      </c>
      <c r="B96" s="264">
        <f t="shared" si="4"/>
        <v>27868.75</v>
      </c>
      <c r="C96" s="58" t="str">
        <f t="shared" si="7"/>
        <v>/</v>
      </c>
      <c r="D96" s="778">
        <f t="shared" si="5"/>
        <v>28876.75</v>
      </c>
      <c r="E96" s="245"/>
      <c r="F96" s="265"/>
      <c r="G96" s="55"/>
      <c r="H96" s="778"/>
      <c r="I96" s="245"/>
      <c r="J96" s="265"/>
      <c r="K96" s="58"/>
      <c r="L96" s="778"/>
      <c r="M96" s="245">
        <f>M88+1</f>
        <v>12</v>
      </c>
      <c r="N96" s="265">
        <f>28500.5-966+28*M96</f>
        <v>27870.5</v>
      </c>
      <c r="O96" s="55" t="s">
        <v>106</v>
      </c>
      <c r="P96" s="778">
        <f>28500.5+42+28*M96</f>
        <v>28878.5</v>
      </c>
      <c r="Q96" s="245"/>
      <c r="R96" s="266"/>
      <c r="S96" s="249"/>
      <c r="T96" s="778"/>
      <c r="U96" s="245"/>
      <c r="V96" s="267"/>
      <c r="W96" s="249"/>
      <c r="X96" s="778"/>
      <c r="Y96" s="778"/>
    </row>
    <row r="97" spans="1:25" x14ac:dyDescent="0.25">
      <c r="A97" s="189">
        <f t="shared" si="6"/>
        <v>93</v>
      </c>
      <c r="B97" s="264">
        <f t="shared" si="4"/>
        <v>27872.25</v>
      </c>
      <c r="C97" s="58" t="str">
        <f t="shared" si="7"/>
        <v>/</v>
      </c>
      <c r="D97" s="778">
        <f t="shared" si="5"/>
        <v>28880.25</v>
      </c>
      <c r="E97" s="245">
        <f>E95+1</f>
        <v>47</v>
      </c>
      <c r="F97" s="265">
        <f>28500.5-955.5+7*E97</f>
        <v>27874</v>
      </c>
      <c r="G97" s="55" t="s">
        <v>106</v>
      </c>
      <c r="H97" s="778">
        <f>28500.5+52.5+7*E97</f>
        <v>28882</v>
      </c>
      <c r="I97" s="245"/>
      <c r="J97" s="265"/>
      <c r="K97" s="58"/>
      <c r="L97" s="778"/>
      <c r="M97" s="245"/>
      <c r="N97" s="265"/>
      <c r="O97" s="55"/>
      <c r="P97" s="778"/>
      <c r="Q97" s="245"/>
      <c r="R97" s="266"/>
      <c r="S97" s="249"/>
      <c r="T97" s="778"/>
      <c r="U97" s="245"/>
      <c r="V97" s="267"/>
      <c r="W97" s="249"/>
      <c r="X97" s="778"/>
      <c r="Y97" s="267" t="s">
        <v>206</v>
      </c>
    </row>
    <row r="98" spans="1:25" x14ac:dyDescent="0.25">
      <c r="A98" s="189">
        <f t="shared" si="6"/>
        <v>94</v>
      </c>
      <c r="B98" s="264">
        <f t="shared" si="4"/>
        <v>27875.75</v>
      </c>
      <c r="C98" s="58" t="str">
        <f t="shared" si="7"/>
        <v>/</v>
      </c>
      <c r="D98" s="778">
        <f t="shared" si="5"/>
        <v>28883.75</v>
      </c>
      <c r="E98" s="245"/>
      <c r="F98" s="265"/>
      <c r="G98" s="55"/>
      <c r="H98" s="778"/>
      <c r="I98" s="245">
        <f>I94+1</f>
        <v>24</v>
      </c>
      <c r="J98" s="265">
        <f>28500.5-959+14*I98</f>
        <v>27877.5</v>
      </c>
      <c r="K98" s="55" t="s">
        <v>106</v>
      </c>
      <c r="L98" s="778">
        <f>28500.5+49+14*I98</f>
        <v>28885.5</v>
      </c>
      <c r="M98" s="245"/>
      <c r="N98" s="265"/>
      <c r="O98" s="58"/>
      <c r="P98" s="778"/>
      <c r="Q98" s="245"/>
      <c r="R98" s="266"/>
      <c r="S98" s="249"/>
      <c r="T98" s="778"/>
      <c r="U98" s="245"/>
      <c r="V98" s="267"/>
      <c r="W98" s="249"/>
      <c r="X98" s="778"/>
      <c r="Y98" s="778"/>
    </row>
    <row r="99" spans="1:25" x14ac:dyDescent="0.25">
      <c r="A99" s="189">
        <f t="shared" si="6"/>
        <v>95</v>
      </c>
      <c r="B99" s="264">
        <f t="shared" si="4"/>
        <v>27879.25</v>
      </c>
      <c r="C99" s="58" t="str">
        <f t="shared" si="7"/>
        <v>/</v>
      </c>
      <c r="D99" s="778">
        <f t="shared" si="5"/>
        <v>28887.25</v>
      </c>
      <c r="E99" s="245">
        <f>E97+1</f>
        <v>48</v>
      </c>
      <c r="F99" s="265">
        <f>28500.5-955.5+7*E99</f>
        <v>27881</v>
      </c>
      <c r="G99" s="55" t="s">
        <v>106</v>
      </c>
      <c r="H99" s="778">
        <f>28500.5+52.5+7*E99</f>
        <v>28889</v>
      </c>
      <c r="I99" s="245"/>
      <c r="J99" s="265"/>
      <c r="K99" s="58"/>
      <c r="L99" s="778"/>
      <c r="M99" s="245"/>
      <c r="N99" s="265"/>
      <c r="O99" s="58"/>
      <c r="P99" s="778"/>
      <c r="Q99" s="245"/>
      <c r="R99" s="266"/>
      <c r="S99" s="249"/>
      <c r="T99" s="778"/>
      <c r="U99" s="245"/>
      <c r="V99" s="267"/>
      <c r="W99" s="249"/>
      <c r="X99" s="778"/>
      <c r="Y99" s="778"/>
    </row>
    <row r="100" spans="1:25" x14ac:dyDescent="0.25">
      <c r="A100" s="189">
        <f t="shared" si="6"/>
        <v>96</v>
      </c>
      <c r="B100" s="256">
        <f t="shared" si="4"/>
        <v>27882.75</v>
      </c>
      <c r="C100" s="259" t="str">
        <f t="shared" si="7"/>
        <v>/</v>
      </c>
      <c r="D100" s="256">
        <f t="shared" si="5"/>
        <v>28890.75</v>
      </c>
      <c r="E100" s="258"/>
      <c r="F100" s="259"/>
      <c r="G100" s="260"/>
      <c r="H100" s="261"/>
      <c r="I100" s="258"/>
      <c r="J100" s="259"/>
      <c r="K100" s="259"/>
      <c r="L100" s="261"/>
      <c r="M100" s="258"/>
      <c r="N100" s="259"/>
      <c r="O100" s="259"/>
      <c r="P100" s="261"/>
      <c r="Q100" s="258"/>
      <c r="R100" s="262"/>
      <c r="S100" s="263"/>
      <c r="T100" s="261"/>
      <c r="U100" s="245"/>
      <c r="V100" s="267"/>
      <c r="W100" s="249"/>
      <c r="X100" s="778"/>
      <c r="Y100" s="778"/>
    </row>
    <row r="101" spans="1:25" x14ac:dyDescent="0.25">
      <c r="A101" s="189">
        <f t="shared" si="6"/>
        <v>97</v>
      </c>
      <c r="B101" s="264">
        <f t="shared" si="4"/>
        <v>27886.25</v>
      </c>
      <c r="C101" s="58" t="str">
        <f t="shared" si="7"/>
        <v>/</v>
      </c>
      <c r="D101" s="778">
        <f t="shared" si="5"/>
        <v>28894.25</v>
      </c>
      <c r="E101" s="245">
        <f>E99+1</f>
        <v>49</v>
      </c>
      <c r="F101" s="265">
        <f>28500.5-955.5+7*E101</f>
        <v>27888</v>
      </c>
      <c r="G101" s="55" t="s">
        <v>106</v>
      </c>
      <c r="H101" s="778">
        <f>28500.5+52.5+7*E101</f>
        <v>28896</v>
      </c>
      <c r="I101" s="245"/>
      <c r="J101" s="265"/>
      <c r="K101" s="58"/>
      <c r="L101" s="778"/>
      <c r="M101" s="245"/>
      <c r="N101" s="265"/>
      <c r="O101" s="58"/>
      <c r="P101" s="778"/>
      <c r="Q101" s="245"/>
      <c r="R101" s="266"/>
      <c r="S101" s="249"/>
      <c r="T101" s="778"/>
      <c r="U101" s="245"/>
      <c r="V101" s="267"/>
      <c r="W101" s="249"/>
      <c r="X101" s="778"/>
      <c r="Y101" s="778"/>
    </row>
    <row r="102" spans="1:25" x14ac:dyDescent="0.25">
      <c r="A102" s="189">
        <f t="shared" si="6"/>
        <v>98</v>
      </c>
      <c r="B102" s="264">
        <f t="shared" si="4"/>
        <v>27889.75</v>
      </c>
      <c r="C102" s="58" t="str">
        <f t="shared" si="7"/>
        <v>/</v>
      </c>
      <c r="D102" s="778">
        <f t="shared" si="5"/>
        <v>28897.75</v>
      </c>
      <c r="E102" s="245"/>
      <c r="F102" s="265"/>
      <c r="G102" s="55"/>
      <c r="H102" s="778"/>
      <c r="I102" s="245">
        <f>I98+1</f>
        <v>25</v>
      </c>
      <c r="J102" s="265">
        <f>28500.5-959+14*I102</f>
        <v>27891.5</v>
      </c>
      <c r="K102" s="55" t="s">
        <v>106</v>
      </c>
      <c r="L102" s="778">
        <f>28500.5+49+14*I102</f>
        <v>28899.5</v>
      </c>
      <c r="M102" s="245"/>
      <c r="N102" s="265"/>
      <c r="O102" s="58"/>
      <c r="P102" s="778"/>
      <c r="Q102" s="245"/>
      <c r="R102" s="266"/>
      <c r="S102" s="249"/>
      <c r="T102" s="778"/>
      <c r="U102" s="245"/>
      <c r="V102" s="267"/>
      <c r="W102" s="249"/>
      <c r="X102" s="778"/>
      <c r="Y102" s="778"/>
    </row>
    <row r="103" spans="1:25" x14ac:dyDescent="0.25">
      <c r="A103" s="189">
        <f t="shared" si="6"/>
        <v>99</v>
      </c>
      <c r="B103" s="264">
        <f t="shared" si="4"/>
        <v>27893.25</v>
      </c>
      <c r="C103" s="58" t="str">
        <f t="shared" si="7"/>
        <v>/</v>
      </c>
      <c r="D103" s="778">
        <f t="shared" si="5"/>
        <v>28901.25</v>
      </c>
      <c r="E103" s="245">
        <f>E101+1</f>
        <v>50</v>
      </c>
      <c r="F103" s="265">
        <f>28500.5-955.5+7*E103</f>
        <v>27895</v>
      </c>
      <c r="G103" s="55" t="s">
        <v>106</v>
      </c>
      <c r="H103" s="778">
        <f>28500.5+52.5+7*E103</f>
        <v>28903</v>
      </c>
      <c r="I103" s="245"/>
      <c r="J103" s="265"/>
      <c r="K103" s="58"/>
      <c r="L103" s="778"/>
      <c r="M103" s="245"/>
      <c r="N103" s="265"/>
      <c r="O103" s="58"/>
      <c r="P103" s="778"/>
      <c r="Q103" s="245"/>
      <c r="R103" s="266"/>
      <c r="S103" s="249"/>
      <c r="T103" s="778"/>
      <c r="U103" s="245"/>
      <c r="V103" s="267"/>
      <c r="W103" s="249"/>
      <c r="X103" s="778"/>
      <c r="Y103" s="778"/>
    </row>
    <row r="104" spans="1:25" x14ac:dyDescent="0.25">
      <c r="A104" s="189">
        <f t="shared" si="6"/>
        <v>100</v>
      </c>
      <c r="B104" s="264">
        <f t="shared" si="4"/>
        <v>27896.75</v>
      </c>
      <c r="C104" s="58" t="str">
        <f t="shared" si="7"/>
        <v>/</v>
      </c>
      <c r="D104" s="778">
        <f t="shared" si="5"/>
        <v>28904.75</v>
      </c>
      <c r="E104" s="245"/>
      <c r="F104" s="265"/>
      <c r="G104" s="55"/>
      <c r="H104" s="778"/>
      <c r="I104" s="245"/>
      <c r="J104" s="265"/>
      <c r="K104" s="58"/>
      <c r="L104" s="778"/>
      <c r="M104" s="245">
        <f>M96+1</f>
        <v>13</v>
      </c>
      <c r="N104" s="265">
        <f>28500.5-966+28*M104</f>
        <v>27898.5</v>
      </c>
      <c r="O104" s="55" t="s">
        <v>106</v>
      </c>
      <c r="P104" s="778">
        <f>28500.5+42+28*M104</f>
        <v>28906.5</v>
      </c>
      <c r="Q104" s="245"/>
      <c r="R104" s="268"/>
      <c r="S104" s="55"/>
      <c r="T104" s="778"/>
      <c r="U104" s="245"/>
      <c r="V104" s="267"/>
      <c r="W104" s="249"/>
      <c r="X104" s="778"/>
      <c r="Y104" s="778"/>
    </row>
    <row r="105" spans="1:25" x14ac:dyDescent="0.25">
      <c r="A105" s="189">
        <f t="shared" si="6"/>
        <v>101</v>
      </c>
      <c r="B105" s="264">
        <f t="shared" si="4"/>
        <v>27900.25</v>
      </c>
      <c r="C105" s="58" t="str">
        <f t="shared" si="7"/>
        <v>/</v>
      </c>
      <c r="D105" s="778">
        <f t="shared" si="5"/>
        <v>28908.25</v>
      </c>
      <c r="E105" s="245">
        <f>E103+1</f>
        <v>51</v>
      </c>
      <c r="F105" s="265">
        <f>28500.5-955.5+7*E105</f>
        <v>27902</v>
      </c>
      <c r="G105" s="55" t="s">
        <v>106</v>
      </c>
      <c r="H105" s="778">
        <f>28500.5+52.5+7*E105</f>
        <v>28910</v>
      </c>
      <c r="I105" s="245"/>
      <c r="J105" s="265"/>
      <c r="K105" s="58"/>
      <c r="L105" s="778"/>
      <c r="M105" s="245"/>
      <c r="N105" s="265"/>
      <c r="O105" s="58"/>
      <c r="P105" s="778"/>
      <c r="Q105" s="245"/>
      <c r="R105" s="266"/>
      <c r="S105" s="249"/>
      <c r="T105" s="778"/>
      <c r="U105" s="245"/>
      <c r="V105" s="267"/>
      <c r="W105" s="249"/>
      <c r="X105" s="778"/>
      <c r="Y105" s="778"/>
    </row>
    <row r="106" spans="1:25" x14ac:dyDescent="0.25">
      <c r="A106" s="189">
        <f t="shared" si="6"/>
        <v>102</v>
      </c>
      <c r="B106" s="264">
        <f t="shared" si="4"/>
        <v>27903.75</v>
      </c>
      <c r="C106" s="58" t="str">
        <f t="shared" si="7"/>
        <v>/</v>
      </c>
      <c r="D106" s="778">
        <f t="shared" si="5"/>
        <v>28911.75</v>
      </c>
      <c r="E106" s="245"/>
      <c r="F106" s="265"/>
      <c r="G106" s="55"/>
      <c r="H106" s="778"/>
      <c r="I106" s="245">
        <f>I102+1</f>
        <v>26</v>
      </c>
      <c r="J106" s="265">
        <f>28500.5-959+14*I106</f>
        <v>27905.5</v>
      </c>
      <c r="K106" s="55" t="s">
        <v>106</v>
      </c>
      <c r="L106" s="778">
        <f>28500.5+49+14*I106</f>
        <v>28913.5</v>
      </c>
      <c r="M106" s="245"/>
      <c r="N106" s="265"/>
      <c r="O106" s="55"/>
      <c r="P106" s="778"/>
      <c r="Q106" s="245"/>
      <c r="R106" s="266"/>
      <c r="S106" s="249"/>
      <c r="T106" s="778"/>
      <c r="U106" s="245"/>
      <c r="V106" s="267"/>
      <c r="W106" s="249"/>
      <c r="X106" s="778"/>
      <c r="Y106" s="778"/>
    </row>
    <row r="107" spans="1:25" x14ac:dyDescent="0.25">
      <c r="A107" s="189">
        <f t="shared" si="6"/>
        <v>103</v>
      </c>
      <c r="B107" s="264">
        <f t="shared" si="4"/>
        <v>27907.25</v>
      </c>
      <c r="C107" s="58" t="str">
        <f t="shared" si="7"/>
        <v>/</v>
      </c>
      <c r="D107" s="778">
        <f t="shared" si="5"/>
        <v>28915.25</v>
      </c>
      <c r="E107" s="245">
        <f>E105+1</f>
        <v>52</v>
      </c>
      <c r="F107" s="265">
        <f>28500.5-955.5+7*E107</f>
        <v>27909</v>
      </c>
      <c r="G107" s="55" t="s">
        <v>106</v>
      </c>
      <c r="H107" s="778">
        <f>28500.5+52.5+7*E107</f>
        <v>28917</v>
      </c>
      <c r="I107" s="245"/>
      <c r="J107" s="265"/>
      <c r="K107" s="58"/>
      <c r="L107" s="778"/>
      <c r="M107" s="245"/>
      <c r="N107" s="265"/>
      <c r="O107" s="58"/>
      <c r="P107" s="778"/>
      <c r="Q107" s="245"/>
      <c r="R107" s="266"/>
      <c r="S107" s="249"/>
      <c r="T107" s="778"/>
      <c r="U107" s="245"/>
      <c r="V107" s="267"/>
      <c r="W107" s="249"/>
      <c r="X107" s="778"/>
      <c r="Y107" s="778"/>
    </row>
    <row r="108" spans="1:25" x14ac:dyDescent="0.25">
      <c r="A108" s="189">
        <f t="shared" si="6"/>
        <v>104</v>
      </c>
      <c r="B108" s="264">
        <f t="shared" si="4"/>
        <v>27910.75</v>
      </c>
      <c r="C108" s="58" t="str">
        <f t="shared" si="7"/>
        <v>/</v>
      </c>
      <c r="D108" s="778">
        <f t="shared" si="5"/>
        <v>28918.75</v>
      </c>
      <c r="E108" s="245"/>
      <c r="F108" s="265"/>
      <c r="G108" s="55"/>
      <c r="H108" s="778"/>
      <c r="I108" s="245"/>
      <c r="J108" s="265"/>
      <c r="K108" s="58"/>
      <c r="L108" s="778"/>
      <c r="M108" s="245"/>
      <c r="N108" s="265"/>
      <c r="O108" s="58"/>
      <c r="P108" s="778"/>
      <c r="Q108" s="245">
        <f>Q92+1</f>
        <v>7</v>
      </c>
      <c r="R108" s="268">
        <f>28500.5-980+56*Q108</f>
        <v>27912.5</v>
      </c>
      <c r="S108" s="55" t="s">
        <v>106</v>
      </c>
      <c r="T108" s="778">
        <f>28500.5+28+56*Q108</f>
        <v>28920.5</v>
      </c>
      <c r="U108" s="245"/>
      <c r="V108" s="267"/>
      <c r="W108" s="249"/>
      <c r="X108" s="778"/>
      <c r="Y108" s="778"/>
    </row>
    <row r="109" spans="1:25" x14ac:dyDescent="0.25">
      <c r="A109" s="189">
        <f t="shared" si="6"/>
        <v>105</v>
      </c>
      <c r="B109" s="264">
        <f t="shared" si="4"/>
        <v>27914.25</v>
      </c>
      <c r="C109" s="58" t="str">
        <f t="shared" si="7"/>
        <v>/</v>
      </c>
      <c r="D109" s="778">
        <f t="shared" si="5"/>
        <v>28922.25</v>
      </c>
      <c r="E109" s="245">
        <f>E107+1</f>
        <v>53</v>
      </c>
      <c r="F109" s="265">
        <f>28500.5-955.5+7*E109</f>
        <v>27916</v>
      </c>
      <c r="G109" s="55" t="s">
        <v>106</v>
      </c>
      <c r="H109" s="778">
        <f>28500.5+52.5+7*E109</f>
        <v>28924</v>
      </c>
      <c r="I109" s="245"/>
      <c r="J109" s="265"/>
      <c r="K109" s="58"/>
      <c r="L109" s="778"/>
      <c r="M109" s="245"/>
      <c r="N109" s="265"/>
      <c r="O109" s="58"/>
      <c r="P109" s="778"/>
      <c r="Q109" s="245"/>
      <c r="R109" s="266"/>
      <c r="S109" s="249"/>
      <c r="T109" s="778"/>
      <c r="U109" s="245"/>
      <c r="V109" s="267"/>
      <c r="W109" s="249"/>
      <c r="X109" s="778"/>
      <c r="Y109" s="778"/>
    </row>
    <row r="110" spans="1:25" x14ac:dyDescent="0.25">
      <c r="A110" s="189">
        <f t="shared" si="6"/>
        <v>106</v>
      </c>
      <c r="B110" s="264">
        <f t="shared" si="4"/>
        <v>27917.75</v>
      </c>
      <c r="C110" s="58" t="str">
        <f t="shared" si="7"/>
        <v>/</v>
      </c>
      <c r="D110" s="778">
        <f t="shared" si="5"/>
        <v>28925.75</v>
      </c>
      <c r="E110" s="245"/>
      <c r="F110" s="265"/>
      <c r="G110" s="55"/>
      <c r="H110" s="778"/>
      <c r="I110" s="245">
        <f>I106+1</f>
        <v>27</v>
      </c>
      <c r="J110" s="265">
        <f>28500.5-959+14*I110</f>
        <v>27919.5</v>
      </c>
      <c r="K110" s="55" t="s">
        <v>106</v>
      </c>
      <c r="L110" s="778">
        <f>28500.5+49+14*I110</f>
        <v>28927.5</v>
      </c>
      <c r="M110" s="245"/>
      <c r="N110" s="265"/>
      <c r="O110" s="58"/>
      <c r="P110" s="778"/>
      <c r="Q110" s="245"/>
      <c r="R110" s="266"/>
      <c r="S110" s="249"/>
      <c r="T110" s="778"/>
      <c r="U110" s="245"/>
      <c r="V110" s="267"/>
      <c r="W110" s="249"/>
      <c r="X110" s="778"/>
      <c r="Y110" s="778"/>
    </row>
    <row r="111" spans="1:25" x14ac:dyDescent="0.25">
      <c r="A111" s="189">
        <f t="shared" si="6"/>
        <v>107</v>
      </c>
      <c r="B111" s="264">
        <f t="shared" si="4"/>
        <v>27921.25</v>
      </c>
      <c r="C111" s="58" t="str">
        <f t="shared" si="7"/>
        <v>/</v>
      </c>
      <c r="D111" s="778">
        <f t="shared" si="5"/>
        <v>28929.25</v>
      </c>
      <c r="E111" s="245">
        <f>E109+1</f>
        <v>54</v>
      </c>
      <c r="F111" s="265">
        <f>28500.5-955.5+7*E111</f>
        <v>27923</v>
      </c>
      <c r="G111" s="55" t="s">
        <v>106</v>
      </c>
      <c r="H111" s="778">
        <f>28500.5+52.5+7*E111</f>
        <v>28931</v>
      </c>
      <c r="I111" s="245"/>
      <c r="J111" s="265"/>
      <c r="K111" s="58"/>
      <c r="L111" s="778"/>
      <c r="M111" s="245"/>
      <c r="N111" s="265"/>
      <c r="O111" s="58"/>
      <c r="P111" s="778"/>
      <c r="Q111" s="245"/>
      <c r="R111" s="266"/>
      <c r="S111" s="249"/>
      <c r="T111" s="778"/>
      <c r="U111" s="245"/>
      <c r="V111" s="267"/>
      <c r="W111" s="249"/>
      <c r="X111" s="778"/>
      <c r="Y111" s="778"/>
    </row>
    <row r="112" spans="1:25" x14ac:dyDescent="0.25">
      <c r="A112" s="189">
        <f t="shared" si="6"/>
        <v>108</v>
      </c>
      <c r="B112" s="264">
        <f t="shared" si="4"/>
        <v>27924.75</v>
      </c>
      <c r="C112" s="58" t="str">
        <f t="shared" si="7"/>
        <v>/</v>
      </c>
      <c r="D112" s="778">
        <f t="shared" si="5"/>
        <v>28932.75</v>
      </c>
      <c r="E112" s="245"/>
      <c r="F112" s="265"/>
      <c r="G112" s="55"/>
      <c r="H112" s="778"/>
      <c r="I112" s="245"/>
      <c r="J112" s="265"/>
      <c r="K112" s="58"/>
      <c r="L112" s="778"/>
      <c r="M112" s="245">
        <f>M104+1</f>
        <v>14</v>
      </c>
      <c r="N112" s="265">
        <f>28500.5-966+28*M112</f>
        <v>27926.5</v>
      </c>
      <c r="O112" s="55" t="s">
        <v>106</v>
      </c>
      <c r="P112" s="778">
        <f>28500.5+42+28*M112</f>
        <v>28934.5</v>
      </c>
      <c r="Q112" s="245"/>
      <c r="R112" s="266"/>
      <c r="S112" s="249"/>
      <c r="T112" s="778"/>
      <c r="U112" s="245"/>
      <c r="V112" s="267"/>
      <c r="W112" s="249"/>
      <c r="X112" s="778"/>
      <c r="Y112" s="778"/>
    </row>
    <row r="113" spans="1:25" x14ac:dyDescent="0.25">
      <c r="A113" s="189">
        <f t="shared" si="6"/>
        <v>109</v>
      </c>
      <c r="B113" s="264">
        <f t="shared" si="4"/>
        <v>27928.25</v>
      </c>
      <c r="C113" s="58" t="str">
        <f t="shared" si="7"/>
        <v>/</v>
      </c>
      <c r="D113" s="778">
        <f t="shared" si="5"/>
        <v>28936.25</v>
      </c>
      <c r="E113" s="245">
        <f>E111+1</f>
        <v>55</v>
      </c>
      <c r="F113" s="265">
        <f>28500.5-955.5+7*E113</f>
        <v>27930</v>
      </c>
      <c r="G113" s="55" t="s">
        <v>106</v>
      </c>
      <c r="H113" s="778">
        <f>28500.5+52.5+7*E113</f>
        <v>28938</v>
      </c>
      <c r="I113" s="245"/>
      <c r="J113" s="265"/>
      <c r="K113" s="58"/>
      <c r="L113" s="778"/>
      <c r="M113" s="245"/>
      <c r="N113" s="265"/>
      <c r="O113" s="58"/>
      <c r="P113" s="778"/>
      <c r="Q113" s="245"/>
      <c r="R113" s="266"/>
      <c r="S113" s="249"/>
      <c r="T113" s="778"/>
      <c r="U113" s="245"/>
      <c r="V113" s="267"/>
      <c r="W113" s="249"/>
      <c r="X113" s="778"/>
      <c r="Y113" s="778"/>
    </row>
    <row r="114" spans="1:25" x14ac:dyDescent="0.25">
      <c r="A114" s="189">
        <f t="shared" si="6"/>
        <v>110</v>
      </c>
      <c r="B114" s="264">
        <f t="shared" si="4"/>
        <v>27931.75</v>
      </c>
      <c r="C114" s="58" t="str">
        <f t="shared" si="7"/>
        <v>/</v>
      </c>
      <c r="D114" s="778">
        <f t="shared" si="5"/>
        <v>28939.75</v>
      </c>
      <c r="E114" s="245"/>
      <c r="F114" s="265"/>
      <c r="G114" s="55"/>
      <c r="H114" s="778"/>
      <c r="I114" s="245">
        <f>I110+1</f>
        <v>28</v>
      </c>
      <c r="J114" s="265">
        <f>28500.5-959+14*I114</f>
        <v>27933.5</v>
      </c>
      <c r="K114" s="55" t="s">
        <v>106</v>
      </c>
      <c r="L114" s="778">
        <f>28500.5+49+14*I114</f>
        <v>28941.5</v>
      </c>
      <c r="M114" s="245"/>
      <c r="N114" s="265"/>
      <c r="O114" s="58"/>
      <c r="P114" s="778"/>
      <c r="Q114" s="245"/>
      <c r="R114" s="266"/>
      <c r="S114" s="249"/>
      <c r="T114" s="778"/>
      <c r="U114" s="245"/>
      <c r="V114" s="267"/>
      <c r="W114" s="249"/>
      <c r="X114" s="778"/>
      <c r="Y114" s="778"/>
    </row>
    <row r="115" spans="1:25" x14ac:dyDescent="0.25">
      <c r="A115" s="189">
        <f t="shared" si="6"/>
        <v>111</v>
      </c>
      <c r="B115" s="264">
        <f t="shared" si="4"/>
        <v>27935.25</v>
      </c>
      <c r="C115" s="58" t="str">
        <f t="shared" si="7"/>
        <v>/</v>
      </c>
      <c r="D115" s="778">
        <f t="shared" si="5"/>
        <v>28943.25</v>
      </c>
      <c r="E115" s="245">
        <f>E113+1</f>
        <v>56</v>
      </c>
      <c r="F115" s="265">
        <f>28500.5-955.5+7*E115</f>
        <v>27937</v>
      </c>
      <c r="G115" s="55" t="s">
        <v>106</v>
      </c>
      <c r="H115" s="778">
        <f>28500.5+52.5+7*E115</f>
        <v>28945</v>
      </c>
      <c r="I115" s="245"/>
      <c r="J115" s="265"/>
      <c r="K115" s="58"/>
      <c r="L115" s="778"/>
      <c r="M115" s="245"/>
      <c r="N115" s="265"/>
      <c r="O115" s="58"/>
      <c r="P115" s="778"/>
      <c r="Q115" s="245"/>
      <c r="R115" s="266"/>
      <c r="S115" s="249"/>
      <c r="T115" s="778"/>
      <c r="U115" s="245"/>
      <c r="V115" s="267"/>
      <c r="W115" s="249"/>
      <c r="X115" s="778"/>
      <c r="Y115" s="778"/>
    </row>
    <row r="116" spans="1:25" ht="15.75" thickBot="1" x14ac:dyDescent="0.3">
      <c r="A116" s="189">
        <f t="shared" si="6"/>
        <v>112</v>
      </c>
      <c r="B116" s="256">
        <f t="shared" si="4"/>
        <v>27938.75</v>
      </c>
      <c r="C116" s="259" t="str">
        <f t="shared" si="7"/>
        <v>/</v>
      </c>
      <c r="D116" s="256">
        <f t="shared" si="5"/>
        <v>28946.75</v>
      </c>
      <c r="E116" s="258"/>
      <c r="F116" s="259"/>
      <c r="G116" s="260"/>
      <c r="H116" s="261"/>
      <c r="I116" s="258"/>
      <c r="J116" s="259"/>
      <c r="K116" s="259"/>
      <c r="L116" s="261"/>
      <c r="M116" s="258"/>
      <c r="N116" s="259"/>
      <c r="O116" s="259"/>
      <c r="P116" s="261"/>
      <c r="Q116" s="258"/>
      <c r="R116" s="262"/>
      <c r="S116" s="263"/>
      <c r="T116" s="261"/>
      <c r="U116" s="619">
        <f>U84+1</f>
        <v>4</v>
      </c>
      <c r="V116" s="618">
        <f>28500.5-1008+112*U116</f>
        <v>27940.5</v>
      </c>
      <c r="W116" s="620" t="s">
        <v>106</v>
      </c>
      <c r="X116" s="778">
        <f>28500.5+112*U116</f>
        <v>28948.5</v>
      </c>
      <c r="Y116" s="789"/>
    </row>
    <row r="117" spans="1:25" x14ac:dyDescent="0.25">
      <c r="A117" s="606">
        <f t="shared" si="6"/>
        <v>113</v>
      </c>
      <c r="B117" s="617">
        <f t="shared" si="4"/>
        <v>27942.25</v>
      </c>
      <c r="C117" s="618" t="str">
        <f t="shared" si="7"/>
        <v>/</v>
      </c>
      <c r="D117" s="617">
        <f t="shared" si="5"/>
        <v>28950.25</v>
      </c>
      <c r="E117" s="619">
        <f>E115+1</f>
        <v>57</v>
      </c>
      <c r="F117" s="618">
        <f>28500.5-955.5+7*E117</f>
        <v>27944</v>
      </c>
      <c r="G117" s="620" t="s">
        <v>106</v>
      </c>
      <c r="H117" s="621">
        <f>28500.5+52.5+7*E117</f>
        <v>28952</v>
      </c>
      <c r="I117" s="619"/>
      <c r="J117" s="618"/>
      <c r="K117" s="618"/>
      <c r="L117" s="622"/>
      <c r="M117" s="619"/>
      <c r="N117" s="618"/>
      <c r="O117" s="618"/>
      <c r="P117" s="622"/>
      <c r="Q117" s="619"/>
      <c r="R117" s="623"/>
      <c r="S117" s="624"/>
      <c r="T117" s="622"/>
      <c r="U117" s="619"/>
      <c r="V117" s="624"/>
      <c r="W117" s="624"/>
      <c r="X117" s="625"/>
      <c r="Y117" s="788" t="s">
        <v>207</v>
      </c>
    </row>
    <row r="118" spans="1:25" x14ac:dyDescent="0.25">
      <c r="A118" s="606">
        <f t="shared" si="6"/>
        <v>114</v>
      </c>
      <c r="B118" s="617">
        <f t="shared" si="4"/>
        <v>27945.75</v>
      </c>
      <c r="C118" s="618" t="str">
        <f t="shared" si="7"/>
        <v>/</v>
      </c>
      <c r="D118" s="617">
        <f t="shared" si="5"/>
        <v>28953.75</v>
      </c>
      <c r="E118" s="619"/>
      <c r="F118" s="618"/>
      <c r="G118" s="620"/>
      <c r="H118" s="622"/>
      <c r="I118" s="619">
        <f>I114+1</f>
        <v>29</v>
      </c>
      <c r="J118" s="618">
        <f>28500.5-959+14*I118</f>
        <v>27947.5</v>
      </c>
      <c r="K118" s="620" t="s">
        <v>106</v>
      </c>
      <c r="L118" s="621">
        <f>28500.5+49+14*I118</f>
        <v>28955.5</v>
      </c>
      <c r="M118" s="619"/>
      <c r="N118" s="618"/>
      <c r="O118" s="618"/>
      <c r="P118" s="622"/>
      <c r="Q118" s="619"/>
      <c r="R118" s="623"/>
      <c r="S118" s="624"/>
      <c r="T118" s="622"/>
      <c r="U118" s="619"/>
      <c r="V118" s="624"/>
      <c r="W118" s="624"/>
      <c r="X118" s="625"/>
      <c r="Y118" s="626" t="s">
        <v>208</v>
      </c>
    </row>
    <row r="119" spans="1:25" x14ac:dyDescent="0.25">
      <c r="A119" s="606">
        <f t="shared" si="6"/>
        <v>115</v>
      </c>
      <c r="B119" s="617">
        <f t="shared" si="4"/>
        <v>27949.25</v>
      </c>
      <c r="C119" s="618" t="str">
        <f t="shared" si="7"/>
        <v>/</v>
      </c>
      <c r="D119" s="617">
        <f t="shared" si="5"/>
        <v>28957.25</v>
      </c>
      <c r="E119" s="619">
        <f>E117+1</f>
        <v>58</v>
      </c>
      <c r="F119" s="618">
        <f>28500.5-955.5+7*E119</f>
        <v>27951</v>
      </c>
      <c r="G119" s="620" t="s">
        <v>106</v>
      </c>
      <c r="H119" s="621">
        <f>28500.5+52.5+7*E119</f>
        <v>28959</v>
      </c>
      <c r="I119" s="619"/>
      <c r="J119" s="618"/>
      <c r="K119" s="618"/>
      <c r="L119" s="621"/>
      <c r="M119" s="619"/>
      <c r="N119" s="618"/>
      <c r="O119" s="618"/>
      <c r="P119" s="622"/>
      <c r="Q119" s="619"/>
      <c r="R119" s="623"/>
      <c r="S119" s="624"/>
      <c r="T119" s="622"/>
      <c r="U119" s="619"/>
      <c r="V119" s="624"/>
      <c r="W119" s="624"/>
      <c r="X119" s="625"/>
      <c r="Y119" s="626"/>
    </row>
    <row r="120" spans="1:25" x14ac:dyDescent="0.25">
      <c r="A120" s="606">
        <f t="shared" si="6"/>
        <v>116</v>
      </c>
      <c r="B120" s="617">
        <f t="shared" si="4"/>
        <v>27952.75</v>
      </c>
      <c r="C120" s="618" t="str">
        <f t="shared" si="7"/>
        <v>/</v>
      </c>
      <c r="D120" s="617">
        <f t="shared" si="5"/>
        <v>28960.75</v>
      </c>
      <c r="E120" s="619"/>
      <c r="F120" s="618"/>
      <c r="G120" s="620"/>
      <c r="H120" s="622"/>
      <c r="I120" s="619"/>
      <c r="J120" s="618"/>
      <c r="K120" s="618"/>
      <c r="L120" s="622"/>
      <c r="M120" s="619">
        <f>M112+1</f>
        <v>15</v>
      </c>
      <c r="N120" s="618">
        <f>28500.5-966+28*M120</f>
        <v>27954.5</v>
      </c>
      <c r="O120" s="620" t="s">
        <v>106</v>
      </c>
      <c r="P120" s="621">
        <f>28500.5+42+28*M120</f>
        <v>28962.5</v>
      </c>
      <c r="Q120" s="619"/>
      <c r="R120" s="627"/>
      <c r="S120" s="620"/>
      <c r="T120" s="621"/>
      <c r="U120" s="619"/>
      <c r="V120" s="618"/>
      <c r="W120" s="620"/>
      <c r="X120" s="628"/>
      <c r="Y120" s="629"/>
    </row>
    <row r="121" spans="1:25" x14ac:dyDescent="0.25">
      <c r="A121" s="606">
        <f t="shared" si="6"/>
        <v>117</v>
      </c>
      <c r="B121" s="617">
        <f t="shared" si="4"/>
        <v>27956.25</v>
      </c>
      <c r="C121" s="618" t="str">
        <f t="shared" si="7"/>
        <v>/</v>
      </c>
      <c r="D121" s="617">
        <f t="shared" si="5"/>
        <v>28964.25</v>
      </c>
      <c r="E121" s="619">
        <f>E119+1</f>
        <v>59</v>
      </c>
      <c r="F121" s="618">
        <f>28500.5-955.5+7*E121</f>
        <v>27958</v>
      </c>
      <c r="G121" s="620" t="s">
        <v>106</v>
      </c>
      <c r="H121" s="621">
        <f>28500.5+52.5+7*E121</f>
        <v>28966</v>
      </c>
      <c r="I121" s="619"/>
      <c r="J121" s="618"/>
      <c r="K121" s="618"/>
      <c r="L121" s="622"/>
      <c r="M121" s="619"/>
      <c r="N121" s="618"/>
      <c r="O121" s="618"/>
      <c r="P121" s="622"/>
      <c r="Q121" s="619"/>
      <c r="R121" s="623"/>
      <c r="S121" s="624"/>
      <c r="T121" s="622"/>
      <c r="U121" s="619"/>
      <c r="V121" s="624"/>
      <c r="W121" s="624"/>
      <c r="X121" s="625"/>
      <c r="Y121" s="626"/>
    </row>
    <row r="122" spans="1:25" x14ac:dyDescent="0.25">
      <c r="A122" s="606">
        <f t="shared" si="6"/>
        <v>118</v>
      </c>
      <c r="B122" s="617">
        <f t="shared" si="4"/>
        <v>27959.75</v>
      </c>
      <c r="C122" s="618" t="str">
        <f t="shared" si="7"/>
        <v>/</v>
      </c>
      <c r="D122" s="617">
        <f t="shared" si="5"/>
        <v>28967.75</v>
      </c>
      <c r="E122" s="619"/>
      <c r="F122" s="618"/>
      <c r="G122" s="620"/>
      <c r="H122" s="622"/>
      <c r="I122" s="619">
        <f>I118+1</f>
        <v>30</v>
      </c>
      <c r="J122" s="618">
        <f>28500.5-959+14*I122</f>
        <v>27961.5</v>
      </c>
      <c r="K122" s="620" t="s">
        <v>106</v>
      </c>
      <c r="L122" s="621">
        <f>28500.5+49+14*I122</f>
        <v>28969.5</v>
      </c>
      <c r="M122" s="619"/>
      <c r="N122" s="618"/>
      <c r="O122" s="618"/>
      <c r="P122" s="622"/>
      <c r="Q122" s="619"/>
      <c r="R122" s="623"/>
      <c r="S122" s="624"/>
      <c r="T122" s="622"/>
      <c r="U122" s="619"/>
      <c r="V122" s="624"/>
      <c r="W122" s="624"/>
      <c r="X122" s="625"/>
      <c r="Y122" s="630"/>
    </row>
    <row r="123" spans="1:25" x14ac:dyDescent="0.25">
      <c r="A123" s="606">
        <f t="shared" si="6"/>
        <v>119</v>
      </c>
      <c r="B123" s="617">
        <f t="shared" si="4"/>
        <v>27963.25</v>
      </c>
      <c r="C123" s="618" t="str">
        <f t="shared" si="7"/>
        <v>/</v>
      </c>
      <c r="D123" s="617">
        <f t="shared" si="5"/>
        <v>28971.25</v>
      </c>
      <c r="E123" s="619">
        <f>E121+1</f>
        <v>60</v>
      </c>
      <c r="F123" s="618">
        <f>28500.5-955.5+7*E123</f>
        <v>27965</v>
      </c>
      <c r="G123" s="620" t="s">
        <v>106</v>
      </c>
      <c r="H123" s="621">
        <f>28500.5+52.5+7*E123</f>
        <v>28973</v>
      </c>
      <c r="I123" s="619"/>
      <c r="J123" s="618"/>
      <c r="K123" s="618"/>
      <c r="L123" s="621"/>
      <c r="M123" s="619"/>
      <c r="N123" s="618"/>
      <c r="O123" s="618"/>
      <c r="P123" s="622"/>
      <c r="Q123" s="619"/>
      <c r="R123" s="623"/>
      <c r="S123" s="624"/>
      <c r="T123" s="622"/>
      <c r="U123" s="619"/>
      <c r="V123" s="624"/>
      <c r="W123" s="624"/>
      <c r="X123" s="625"/>
      <c r="Y123" s="631" t="s">
        <v>199</v>
      </c>
    </row>
    <row r="124" spans="1:25" x14ac:dyDescent="0.25">
      <c r="A124" s="606">
        <f t="shared" si="6"/>
        <v>120</v>
      </c>
      <c r="B124" s="617">
        <f t="shared" si="4"/>
        <v>27966.75</v>
      </c>
      <c r="C124" s="618" t="str">
        <f t="shared" si="7"/>
        <v>/</v>
      </c>
      <c r="D124" s="617">
        <f t="shared" si="5"/>
        <v>28974.75</v>
      </c>
      <c r="E124" s="619"/>
      <c r="F124" s="618"/>
      <c r="G124" s="620"/>
      <c r="H124" s="622"/>
      <c r="I124" s="619"/>
      <c r="J124" s="618"/>
      <c r="K124" s="618"/>
      <c r="L124" s="622"/>
      <c r="M124" s="619"/>
      <c r="N124" s="618"/>
      <c r="O124" s="618"/>
      <c r="P124" s="622"/>
      <c r="Q124" s="619">
        <f>Q108+1</f>
        <v>8</v>
      </c>
      <c r="R124" s="627">
        <f>28500.5-980+56*Q124</f>
        <v>27968.5</v>
      </c>
      <c r="S124" s="620" t="s">
        <v>106</v>
      </c>
      <c r="T124" s="621">
        <f>28500.5+28+56*Q124</f>
        <v>28976.5</v>
      </c>
      <c r="U124" s="619"/>
      <c r="V124" s="624"/>
      <c r="W124" s="624"/>
      <c r="X124" s="625"/>
      <c r="Y124" s="630"/>
    </row>
    <row r="125" spans="1:25" x14ac:dyDescent="0.25">
      <c r="A125" s="606">
        <f t="shared" si="6"/>
        <v>121</v>
      </c>
      <c r="B125" s="617">
        <f t="shared" si="4"/>
        <v>27970.25</v>
      </c>
      <c r="C125" s="618" t="str">
        <f t="shared" si="7"/>
        <v>/</v>
      </c>
      <c r="D125" s="617">
        <f t="shared" si="5"/>
        <v>28978.25</v>
      </c>
      <c r="E125" s="619">
        <f>E123+1</f>
        <v>61</v>
      </c>
      <c r="F125" s="618">
        <f>28500.5-955.5+7*E125</f>
        <v>27972</v>
      </c>
      <c r="G125" s="620" t="s">
        <v>106</v>
      </c>
      <c r="H125" s="621">
        <f>28500.5+52.5+7*E125</f>
        <v>28980</v>
      </c>
      <c r="I125" s="619"/>
      <c r="J125" s="618"/>
      <c r="K125" s="618"/>
      <c r="L125" s="622"/>
      <c r="M125" s="619"/>
      <c r="N125" s="618"/>
      <c r="O125" s="618"/>
      <c r="P125" s="622"/>
      <c r="Q125" s="619"/>
      <c r="R125" s="623"/>
      <c r="S125" s="624"/>
      <c r="T125" s="622"/>
      <c r="U125" s="619"/>
      <c r="V125" s="624"/>
      <c r="W125" s="624"/>
      <c r="X125" s="625"/>
      <c r="Y125" s="632"/>
    </row>
    <row r="126" spans="1:25" x14ac:dyDescent="0.25">
      <c r="A126" s="606">
        <f t="shared" si="6"/>
        <v>122</v>
      </c>
      <c r="B126" s="617">
        <f t="shared" si="4"/>
        <v>27973.75</v>
      </c>
      <c r="C126" s="618" t="str">
        <f t="shared" si="7"/>
        <v>/</v>
      </c>
      <c r="D126" s="617">
        <f t="shared" si="5"/>
        <v>28981.75</v>
      </c>
      <c r="E126" s="619"/>
      <c r="F126" s="618"/>
      <c r="G126" s="620"/>
      <c r="H126" s="622"/>
      <c r="I126" s="619">
        <f>I122+1</f>
        <v>31</v>
      </c>
      <c r="J126" s="618">
        <f>28500.5-959+14*I126</f>
        <v>27975.5</v>
      </c>
      <c r="K126" s="620" t="s">
        <v>106</v>
      </c>
      <c r="L126" s="621">
        <f>28500.5+49+14*I126</f>
        <v>28983.5</v>
      </c>
      <c r="M126" s="619"/>
      <c r="N126" s="618"/>
      <c r="O126" s="618"/>
      <c r="P126" s="622"/>
      <c r="Q126" s="619"/>
      <c r="R126" s="623"/>
      <c r="S126" s="624"/>
      <c r="T126" s="622"/>
      <c r="U126" s="619"/>
      <c r="V126" s="624"/>
      <c r="W126" s="624"/>
      <c r="X126" s="625"/>
      <c r="Y126" s="632"/>
    </row>
    <row r="127" spans="1:25" x14ac:dyDescent="0.25">
      <c r="A127" s="606">
        <f t="shared" si="6"/>
        <v>123</v>
      </c>
      <c r="B127" s="617">
        <f t="shared" si="4"/>
        <v>27977.25</v>
      </c>
      <c r="C127" s="618" t="str">
        <f t="shared" si="7"/>
        <v>/</v>
      </c>
      <c r="D127" s="617">
        <f t="shared" si="5"/>
        <v>28985.25</v>
      </c>
      <c r="E127" s="619">
        <f>E125+1</f>
        <v>62</v>
      </c>
      <c r="F127" s="618">
        <f>28500.5-955.5+7*E127</f>
        <v>27979</v>
      </c>
      <c r="G127" s="620" t="s">
        <v>106</v>
      </c>
      <c r="H127" s="621">
        <f>28500.5+52.5+7*E127</f>
        <v>28987</v>
      </c>
      <c r="I127" s="619"/>
      <c r="J127" s="618"/>
      <c r="K127" s="618"/>
      <c r="L127" s="621"/>
      <c r="M127" s="619"/>
      <c r="N127" s="618"/>
      <c r="O127" s="618"/>
      <c r="P127" s="622"/>
      <c r="Q127" s="619"/>
      <c r="R127" s="623"/>
      <c r="S127" s="624"/>
      <c r="T127" s="622"/>
      <c r="U127" s="619"/>
      <c r="V127" s="624"/>
      <c r="W127" s="624"/>
      <c r="X127" s="625"/>
      <c r="Y127" s="630"/>
    </row>
    <row r="128" spans="1:25" x14ac:dyDescent="0.25">
      <c r="A128" s="606">
        <f t="shared" si="6"/>
        <v>124</v>
      </c>
      <c r="B128" s="617">
        <f t="shared" si="4"/>
        <v>27980.75</v>
      </c>
      <c r="C128" s="618" t="str">
        <f t="shared" si="7"/>
        <v>/</v>
      </c>
      <c r="D128" s="617">
        <f t="shared" si="5"/>
        <v>28988.75</v>
      </c>
      <c r="E128" s="619"/>
      <c r="F128" s="618"/>
      <c r="G128" s="620"/>
      <c r="H128" s="622"/>
      <c r="I128" s="619"/>
      <c r="J128" s="618"/>
      <c r="K128" s="618"/>
      <c r="L128" s="622"/>
      <c r="M128" s="619">
        <f>M120+1</f>
        <v>16</v>
      </c>
      <c r="N128" s="618">
        <f>28500.5-966+28*M128</f>
        <v>27982.5</v>
      </c>
      <c r="O128" s="620" t="s">
        <v>106</v>
      </c>
      <c r="P128" s="621">
        <f>28500.5+42+28*M128</f>
        <v>28990.5</v>
      </c>
      <c r="Q128" s="619"/>
      <c r="R128" s="623"/>
      <c r="S128" s="624"/>
      <c r="T128" s="622"/>
      <c r="U128" s="619"/>
      <c r="V128" s="624"/>
      <c r="W128" s="624"/>
      <c r="X128" s="625"/>
      <c r="Y128" s="630"/>
    </row>
    <row r="129" spans="1:25" x14ac:dyDescent="0.25">
      <c r="A129" s="606">
        <f t="shared" si="6"/>
        <v>125</v>
      </c>
      <c r="B129" s="617">
        <f t="shared" si="4"/>
        <v>27984.25</v>
      </c>
      <c r="C129" s="618" t="str">
        <f t="shared" si="7"/>
        <v>/</v>
      </c>
      <c r="D129" s="617">
        <f t="shared" si="5"/>
        <v>28992.25</v>
      </c>
      <c r="E129" s="619">
        <f>E127+1</f>
        <v>63</v>
      </c>
      <c r="F129" s="618">
        <f>28500.5-955.5+7*E129</f>
        <v>27986</v>
      </c>
      <c r="G129" s="620" t="s">
        <v>106</v>
      </c>
      <c r="H129" s="621">
        <f>28500.5+52.5+7*E129</f>
        <v>28994</v>
      </c>
      <c r="I129" s="619"/>
      <c r="J129" s="618"/>
      <c r="K129" s="618"/>
      <c r="L129" s="622"/>
      <c r="M129" s="619"/>
      <c r="N129" s="618"/>
      <c r="O129" s="618"/>
      <c r="P129" s="622"/>
      <c r="Q129" s="619"/>
      <c r="R129" s="623"/>
      <c r="S129" s="624"/>
      <c r="T129" s="622"/>
      <c r="U129" s="619"/>
      <c r="V129" s="624"/>
      <c r="W129" s="624"/>
      <c r="X129" s="625"/>
      <c r="Y129" s="630"/>
    </row>
    <row r="130" spans="1:25" x14ac:dyDescent="0.25">
      <c r="A130" s="606">
        <f t="shared" si="6"/>
        <v>126</v>
      </c>
      <c r="B130" s="617">
        <f t="shared" si="4"/>
        <v>27987.75</v>
      </c>
      <c r="C130" s="618" t="str">
        <f t="shared" si="7"/>
        <v>/</v>
      </c>
      <c r="D130" s="617">
        <f t="shared" si="5"/>
        <v>28995.75</v>
      </c>
      <c r="E130" s="619"/>
      <c r="F130" s="618"/>
      <c r="G130" s="620"/>
      <c r="H130" s="622"/>
      <c r="I130" s="619">
        <f>I126+1</f>
        <v>32</v>
      </c>
      <c r="J130" s="618">
        <f>28500.5-959+14*I130</f>
        <v>27989.5</v>
      </c>
      <c r="K130" s="620" t="s">
        <v>106</v>
      </c>
      <c r="L130" s="621">
        <f>28500.5+49+14*I130</f>
        <v>28997.5</v>
      </c>
      <c r="M130" s="619"/>
      <c r="N130" s="618"/>
      <c r="O130" s="618"/>
      <c r="P130" s="622"/>
      <c r="Q130" s="619"/>
      <c r="R130" s="623"/>
      <c r="S130" s="624"/>
      <c r="T130" s="622"/>
      <c r="U130" s="619"/>
      <c r="V130" s="624"/>
      <c r="W130" s="624"/>
      <c r="X130" s="625"/>
      <c r="Y130" s="630"/>
    </row>
    <row r="131" spans="1:25" x14ac:dyDescent="0.25">
      <c r="A131" s="606">
        <f t="shared" si="6"/>
        <v>127</v>
      </c>
      <c r="B131" s="617">
        <f t="shared" si="4"/>
        <v>27991.25</v>
      </c>
      <c r="C131" s="618" t="str">
        <f t="shared" si="7"/>
        <v>/</v>
      </c>
      <c r="D131" s="617">
        <f t="shared" si="5"/>
        <v>28999.25</v>
      </c>
      <c r="E131" s="619">
        <f>E129+1</f>
        <v>64</v>
      </c>
      <c r="F131" s="618">
        <f>28500.5-955.5+7*E131</f>
        <v>27993</v>
      </c>
      <c r="G131" s="620" t="s">
        <v>106</v>
      </c>
      <c r="H131" s="621">
        <f>28500.5+52.5+7*E131</f>
        <v>29001</v>
      </c>
      <c r="I131" s="619"/>
      <c r="J131" s="618"/>
      <c r="K131" s="618"/>
      <c r="L131" s="621"/>
      <c r="M131" s="619"/>
      <c r="N131" s="618"/>
      <c r="O131" s="618"/>
      <c r="P131" s="622"/>
      <c r="Q131" s="619"/>
      <c r="R131" s="623"/>
      <c r="S131" s="624"/>
      <c r="T131" s="622"/>
      <c r="U131" s="619"/>
      <c r="V131" s="624"/>
      <c r="W131" s="624"/>
      <c r="X131" s="625"/>
      <c r="Y131" s="626"/>
    </row>
    <row r="132" spans="1:25" x14ac:dyDescent="0.25">
      <c r="A132" s="606">
        <f t="shared" si="6"/>
        <v>128</v>
      </c>
      <c r="B132" s="617">
        <f t="shared" si="4"/>
        <v>27994.75</v>
      </c>
      <c r="C132" s="618" t="str">
        <f t="shared" si="7"/>
        <v>/</v>
      </c>
      <c r="D132" s="617">
        <f t="shared" si="5"/>
        <v>29002.75</v>
      </c>
      <c r="E132" s="619"/>
      <c r="F132" s="618"/>
      <c r="G132" s="620"/>
      <c r="H132" s="622"/>
      <c r="I132" s="619"/>
      <c r="J132" s="618"/>
      <c r="K132" s="618"/>
      <c r="L132" s="622"/>
      <c r="M132" s="619"/>
      <c r="N132" s="618"/>
      <c r="O132" s="618"/>
      <c r="P132" s="622"/>
      <c r="Q132" s="619"/>
      <c r="R132" s="623"/>
      <c r="S132" s="624"/>
      <c r="T132" s="622"/>
      <c r="U132" s="619"/>
      <c r="V132" s="624"/>
      <c r="W132" s="624"/>
      <c r="X132" s="625"/>
      <c r="Y132" s="626"/>
    </row>
    <row r="133" spans="1:25" x14ac:dyDescent="0.25">
      <c r="A133" s="606">
        <f t="shared" si="6"/>
        <v>129</v>
      </c>
      <c r="B133" s="617">
        <f t="shared" ref="B133:B196" si="8">28500.5-953.75+3.5*A133</f>
        <v>27998.25</v>
      </c>
      <c r="C133" s="618" t="str">
        <f t="shared" si="7"/>
        <v>/</v>
      </c>
      <c r="D133" s="617">
        <f t="shared" ref="D133:D196" si="9">28500.5+54.25+3.5*A133</f>
        <v>29006.25</v>
      </c>
      <c r="E133" s="619">
        <f>E131+1</f>
        <v>65</v>
      </c>
      <c r="F133" s="618">
        <f>28500.5-955.5+7*E133</f>
        <v>28000</v>
      </c>
      <c r="G133" s="620" t="s">
        <v>106</v>
      </c>
      <c r="H133" s="621">
        <f>28500.5+52.5+7*E133</f>
        <v>29008</v>
      </c>
      <c r="I133" s="619"/>
      <c r="J133" s="618"/>
      <c r="K133" s="618"/>
      <c r="L133" s="622"/>
      <c r="M133" s="619"/>
      <c r="N133" s="618"/>
      <c r="O133" s="618"/>
      <c r="P133" s="622"/>
      <c r="Q133" s="619"/>
      <c r="R133" s="623"/>
      <c r="S133" s="624"/>
      <c r="T133" s="622"/>
      <c r="U133" s="619"/>
      <c r="V133" s="624"/>
      <c r="W133" s="624"/>
      <c r="X133" s="625"/>
      <c r="Y133" s="626"/>
    </row>
    <row r="134" spans="1:25" x14ac:dyDescent="0.25">
      <c r="A134" s="606">
        <f t="shared" ref="A134:A197" si="10">A133+1</f>
        <v>130</v>
      </c>
      <c r="B134" s="617">
        <f t="shared" si="8"/>
        <v>28001.75</v>
      </c>
      <c r="C134" s="618" t="str">
        <f t="shared" ref="C134:C197" si="11">C133</f>
        <v>/</v>
      </c>
      <c r="D134" s="617">
        <f t="shared" si="9"/>
        <v>29009.75</v>
      </c>
      <c r="E134" s="619"/>
      <c r="F134" s="618"/>
      <c r="G134" s="620"/>
      <c r="H134" s="622"/>
      <c r="I134" s="619">
        <f>I130+1</f>
        <v>33</v>
      </c>
      <c r="J134" s="618">
        <f>28500.5-959+14*I134</f>
        <v>28003.5</v>
      </c>
      <c r="K134" s="620" t="s">
        <v>106</v>
      </c>
      <c r="L134" s="621">
        <f>28500.5+49+14*I134</f>
        <v>29011.5</v>
      </c>
      <c r="M134" s="619"/>
      <c r="N134" s="618"/>
      <c r="O134" s="618"/>
      <c r="P134" s="622"/>
      <c r="Q134" s="619"/>
      <c r="R134" s="623"/>
      <c r="S134" s="624"/>
      <c r="T134" s="622"/>
      <c r="U134" s="619"/>
      <c r="V134" s="624"/>
      <c r="W134" s="624"/>
      <c r="X134" s="625"/>
      <c r="Y134" s="629"/>
    </row>
    <row r="135" spans="1:25" x14ac:dyDescent="0.25">
      <c r="A135" s="606">
        <f t="shared" si="10"/>
        <v>131</v>
      </c>
      <c r="B135" s="617">
        <f t="shared" si="8"/>
        <v>28005.25</v>
      </c>
      <c r="C135" s="618" t="str">
        <f t="shared" si="11"/>
        <v>/</v>
      </c>
      <c r="D135" s="617">
        <f t="shared" si="9"/>
        <v>29013.25</v>
      </c>
      <c r="E135" s="619">
        <f>E133+1</f>
        <v>66</v>
      </c>
      <c r="F135" s="618">
        <f>28500.5-955.5+7*E135</f>
        <v>28007</v>
      </c>
      <c r="G135" s="620" t="s">
        <v>106</v>
      </c>
      <c r="H135" s="621">
        <f>28500.5+52.5+7*E135</f>
        <v>29015</v>
      </c>
      <c r="I135" s="619"/>
      <c r="J135" s="618"/>
      <c r="K135" s="618"/>
      <c r="L135" s="621"/>
      <c r="M135" s="619"/>
      <c r="N135" s="618"/>
      <c r="O135" s="618"/>
      <c r="P135" s="622"/>
      <c r="Q135" s="619"/>
      <c r="R135" s="623"/>
      <c r="S135" s="624"/>
      <c r="T135" s="622"/>
      <c r="U135" s="619"/>
      <c r="V135" s="624"/>
      <c r="W135" s="624"/>
      <c r="X135" s="625"/>
      <c r="Y135" s="626"/>
    </row>
    <row r="136" spans="1:25" x14ac:dyDescent="0.25">
      <c r="A136" s="606">
        <f t="shared" si="10"/>
        <v>132</v>
      </c>
      <c r="B136" s="617">
        <f t="shared" si="8"/>
        <v>28008.75</v>
      </c>
      <c r="C136" s="618" t="str">
        <f t="shared" si="11"/>
        <v>/</v>
      </c>
      <c r="D136" s="617">
        <f t="shared" si="9"/>
        <v>29016.75</v>
      </c>
      <c r="E136" s="619"/>
      <c r="F136" s="618"/>
      <c r="G136" s="620"/>
      <c r="H136" s="622"/>
      <c r="I136" s="619"/>
      <c r="J136" s="618"/>
      <c r="K136" s="618"/>
      <c r="L136" s="622"/>
      <c r="M136" s="619">
        <f>M128+1</f>
        <v>17</v>
      </c>
      <c r="N136" s="618">
        <f>28500.5-966+28*M136</f>
        <v>28010.5</v>
      </c>
      <c r="O136" s="620" t="s">
        <v>106</v>
      </c>
      <c r="P136" s="621">
        <f>28500.5+42+28*M136</f>
        <v>29018.5</v>
      </c>
      <c r="Q136" s="619"/>
      <c r="R136" s="627"/>
      <c r="S136" s="620"/>
      <c r="T136" s="621"/>
      <c r="U136" s="619"/>
      <c r="V136" s="624"/>
      <c r="W136" s="624"/>
      <c r="X136" s="625"/>
      <c r="Y136" s="630"/>
    </row>
    <row r="137" spans="1:25" x14ac:dyDescent="0.25">
      <c r="A137" s="606">
        <f t="shared" si="10"/>
        <v>133</v>
      </c>
      <c r="B137" s="617">
        <f t="shared" si="8"/>
        <v>28012.25</v>
      </c>
      <c r="C137" s="618" t="str">
        <f t="shared" si="11"/>
        <v>/</v>
      </c>
      <c r="D137" s="617">
        <f t="shared" si="9"/>
        <v>29020.25</v>
      </c>
      <c r="E137" s="619">
        <f>E135+1</f>
        <v>67</v>
      </c>
      <c r="F137" s="618">
        <f>28500.5-955.5+7*E137</f>
        <v>28014</v>
      </c>
      <c r="G137" s="620" t="s">
        <v>106</v>
      </c>
      <c r="H137" s="621">
        <f>28500.5+52.5+7*E137</f>
        <v>29022</v>
      </c>
      <c r="I137" s="619"/>
      <c r="J137" s="618"/>
      <c r="K137" s="618"/>
      <c r="L137" s="622"/>
      <c r="M137" s="619"/>
      <c r="N137" s="618"/>
      <c r="O137" s="618"/>
      <c r="P137" s="622"/>
      <c r="Q137" s="619"/>
      <c r="R137" s="623"/>
      <c r="S137" s="624"/>
      <c r="T137" s="622"/>
      <c r="U137" s="619"/>
      <c r="V137" s="624"/>
      <c r="W137" s="624"/>
      <c r="X137" s="625"/>
      <c r="Y137" s="631"/>
    </row>
    <row r="138" spans="1:25" x14ac:dyDescent="0.25">
      <c r="A138" s="606">
        <f t="shared" si="10"/>
        <v>134</v>
      </c>
      <c r="B138" s="617">
        <f t="shared" si="8"/>
        <v>28015.75</v>
      </c>
      <c r="C138" s="618" t="str">
        <f t="shared" si="11"/>
        <v>/</v>
      </c>
      <c r="D138" s="617">
        <f t="shared" si="9"/>
        <v>29023.75</v>
      </c>
      <c r="E138" s="619"/>
      <c r="F138" s="618"/>
      <c r="G138" s="620"/>
      <c r="H138" s="622"/>
      <c r="I138" s="619">
        <f>I134+1</f>
        <v>34</v>
      </c>
      <c r="J138" s="618">
        <f>28500.5-959+14*I138</f>
        <v>28017.5</v>
      </c>
      <c r="K138" s="620" t="s">
        <v>106</v>
      </c>
      <c r="L138" s="621">
        <f>28500.5+49+14*I138</f>
        <v>29025.5</v>
      </c>
      <c r="M138" s="619"/>
      <c r="N138" s="618"/>
      <c r="O138" s="618"/>
      <c r="P138" s="622"/>
      <c r="Q138" s="619"/>
      <c r="R138" s="623"/>
      <c r="S138" s="624"/>
      <c r="T138" s="622"/>
      <c r="U138" s="619"/>
      <c r="V138" s="624"/>
      <c r="W138" s="624"/>
      <c r="X138" s="625"/>
      <c r="Y138" s="633" t="s">
        <v>156</v>
      </c>
    </row>
    <row r="139" spans="1:25" x14ac:dyDescent="0.25">
      <c r="A139" s="606">
        <f t="shared" si="10"/>
        <v>135</v>
      </c>
      <c r="B139" s="617">
        <f t="shared" si="8"/>
        <v>28019.25</v>
      </c>
      <c r="C139" s="618" t="str">
        <f t="shared" si="11"/>
        <v>/</v>
      </c>
      <c r="D139" s="617">
        <f t="shared" si="9"/>
        <v>29027.25</v>
      </c>
      <c r="E139" s="619">
        <f>E137+1</f>
        <v>68</v>
      </c>
      <c r="F139" s="618">
        <f>28500.5-955.5+7*E139</f>
        <v>28021</v>
      </c>
      <c r="G139" s="620" t="s">
        <v>106</v>
      </c>
      <c r="H139" s="621">
        <f>28500.5+52.5+7*E139</f>
        <v>29029</v>
      </c>
      <c r="I139" s="619"/>
      <c r="J139" s="618"/>
      <c r="K139" s="618"/>
      <c r="L139" s="621"/>
      <c r="M139" s="619"/>
      <c r="N139" s="618"/>
      <c r="O139" s="618"/>
      <c r="P139" s="622"/>
      <c r="Q139" s="619"/>
      <c r="R139" s="623"/>
      <c r="S139" s="624"/>
      <c r="T139" s="622"/>
      <c r="U139" s="619"/>
      <c r="V139" s="624"/>
      <c r="W139" s="624"/>
      <c r="X139" s="625"/>
      <c r="Y139" s="634"/>
    </row>
    <row r="140" spans="1:25" x14ac:dyDescent="0.25">
      <c r="A140" s="606">
        <f t="shared" si="10"/>
        <v>136</v>
      </c>
      <c r="B140" s="617">
        <f t="shared" si="8"/>
        <v>28022.75</v>
      </c>
      <c r="C140" s="618" t="str">
        <f t="shared" si="11"/>
        <v>/</v>
      </c>
      <c r="D140" s="617">
        <f t="shared" si="9"/>
        <v>29030.75</v>
      </c>
      <c r="E140" s="619"/>
      <c r="F140" s="618"/>
      <c r="G140" s="620"/>
      <c r="H140" s="622"/>
      <c r="I140" s="619"/>
      <c r="J140" s="618"/>
      <c r="K140" s="618"/>
      <c r="L140" s="622"/>
      <c r="M140" s="619"/>
      <c r="N140" s="618"/>
      <c r="O140" s="618"/>
      <c r="P140" s="622"/>
      <c r="Q140" s="619">
        <f>Q124+1</f>
        <v>9</v>
      </c>
      <c r="R140" s="627">
        <f>25501-980+56*Q140</f>
        <v>25025</v>
      </c>
      <c r="S140" s="620" t="s">
        <v>106</v>
      </c>
      <c r="T140" s="621">
        <f>28500.5+28+56*Q140</f>
        <v>29032.5</v>
      </c>
      <c r="U140" s="619"/>
      <c r="V140" s="624"/>
      <c r="W140" s="624"/>
      <c r="X140" s="625"/>
      <c r="Y140" s="634"/>
    </row>
    <row r="141" spans="1:25" x14ac:dyDescent="0.25">
      <c r="A141" s="606">
        <f t="shared" si="10"/>
        <v>137</v>
      </c>
      <c r="B141" s="617">
        <f t="shared" si="8"/>
        <v>28026.25</v>
      </c>
      <c r="C141" s="618" t="str">
        <f t="shared" si="11"/>
        <v>/</v>
      </c>
      <c r="D141" s="617">
        <f t="shared" si="9"/>
        <v>29034.25</v>
      </c>
      <c r="E141" s="619">
        <f>E139+1</f>
        <v>69</v>
      </c>
      <c r="F141" s="618">
        <f>28500.5-955.5+7*E141</f>
        <v>28028</v>
      </c>
      <c r="G141" s="620" t="s">
        <v>106</v>
      </c>
      <c r="H141" s="621">
        <f>28500.5+52.5+7*E141</f>
        <v>29036</v>
      </c>
      <c r="I141" s="619"/>
      <c r="J141" s="618"/>
      <c r="K141" s="618"/>
      <c r="L141" s="622"/>
      <c r="M141" s="619"/>
      <c r="N141" s="618"/>
      <c r="O141" s="618"/>
      <c r="P141" s="622"/>
      <c r="Q141" s="619"/>
      <c r="R141" s="623"/>
      <c r="S141" s="624"/>
      <c r="T141" s="622"/>
      <c r="U141" s="619"/>
      <c r="V141" s="624"/>
      <c r="W141" s="624"/>
      <c r="X141" s="625"/>
      <c r="Y141" s="635"/>
    </row>
    <row r="142" spans="1:25" x14ac:dyDescent="0.25">
      <c r="A142" s="606">
        <f t="shared" si="10"/>
        <v>138</v>
      </c>
      <c r="B142" s="617">
        <f t="shared" si="8"/>
        <v>28029.75</v>
      </c>
      <c r="C142" s="618" t="str">
        <f t="shared" si="11"/>
        <v>/</v>
      </c>
      <c r="D142" s="617">
        <f t="shared" si="9"/>
        <v>29037.75</v>
      </c>
      <c r="E142" s="619"/>
      <c r="F142" s="618"/>
      <c r="G142" s="620"/>
      <c r="H142" s="622"/>
      <c r="I142" s="619">
        <f>I138+1</f>
        <v>35</v>
      </c>
      <c r="J142" s="618">
        <f>28500.5-959+14*I142</f>
        <v>28031.5</v>
      </c>
      <c r="K142" s="620" t="s">
        <v>106</v>
      </c>
      <c r="L142" s="621">
        <f>28500.5+49+14*I142</f>
        <v>29039.5</v>
      </c>
      <c r="M142" s="619"/>
      <c r="N142" s="618"/>
      <c r="O142" s="618"/>
      <c r="P142" s="622"/>
      <c r="Q142" s="619"/>
      <c r="R142" s="623"/>
      <c r="S142" s="624"/>
      <c r="T142" s="622"/>
      <c r="U142" s="619"/>
      <c r="V142" s="624"/>
      <c r="W142" s="624"/>
      <c r="X142" s="625"/>
      <c r="Y142" s="630"/>
    </row>
    <row r="143" spans="1:25" x14ac:dyDescent="0.25">
      <c r="A143" s="606">
        <f t="shared" si="10"/>
        <v>139</v>
      </c>
      <c r="B143" s="617">
        <f t="shared" si="8"/>
        <v>28033.25</v>
      </c>
      <c r="C143" s="618" t="str">
        <f t="shared" si="11"/>
        <v>/</v>
      </c>
      <c r="D143" s="617">
        <f t="shared" si="9"/>
        <v>29041.25</v>
      </c>
      <c r="E143" s="619">
        <f>E141+1</f>
        <v>70</v>
      </c>
      <c r="F143" s="618">
        <f>28500.5-955.5+7*E143</f>
        <v>28035</v>
      </c>
      <c r="G143" s="620" t="s">
        <v>106</v>
      </c>
      <c r="H143" s="621">
        <f>28500.5+52.5+7*E143</f>
        <v>29043</v>
      </c>
      <c r="I143" s="619"/>
      <c r="J143" s="618"/>
      <c r="K143" s="618"/>
      <c r="L143" s="621"/>
      <c r="M143" s="619"/>
      <c r="N143" s="618"/>
      <c r="O143" s="618"/>
      <c r="P143" s="622"/>
      <c r="Q143" s="619"/>
      <c r="R143" s="623"/>
      <c r="S143" s="624"/>
      <c r="T143" s="622"/>
      <c r="U143" s="619"/>
      <c r="V143" s="624"/>
      <c r="W143" s="624"/>
      <c r="X143" s="625"/>
      <c r="Y143" s="630"/>
    </row>
    <row r="144" spans="1:25" x14ac:dyDescent="0.25">
      <c r="A144" s="606">
        <f t="shared" si="10"/>
        <v>140</v>
      </c>
      <c r="B144" s="617">
        <f t="shared" si="8"/>
        <v>28036.75</v>
      </c>
      <c r="C144" s="618" t="str">
        <f t="shared" si="11"/>
        <v>/</v>
      </c>
      <c r="D144" s="617">
        <f t="shared" si="9"/>
        <v>29044.75</v>
      </c>
      <c r="E144" s="619"/>
      <c r="F144" s="618"/>
      <c r="G144" s="620"/>
      <c r="H144" s="622"/>
      <c r="I144" s="619"/>
      <c r="J144" s="618"/>
      <c r="K144" s="618"/>
      <c r="L144" s="622"/>
      <c r="M144" s="619">
        <f>M136+1</f>
        <v>18</v>
      </c>
      <c r="N144" s="618">
        <f>28500.5-966+28*M144</f>
        <v>28038.5</v>
      </c>
      <c r="O144" s="620" t="s">
        <v>106</v>
      </c>
      <c r="P144" s="621">
        <f>28500.5+42+28*M144</f>
        <v>29046.5</v>
      </c>
      <c r="Q144" s="619"/>
      <c r="R144" s="623"/>
      <c r="S144" s="624"/>
      <c r="T144" s="622"/>
      <c r="U144" s="619"/>
      <c r="V144" s="624"/>
      <c r="W144" s="624"/>
      <c r="X144" s="625"/>
      <c r="Y144" s="630"/>
    </row>
    <row r="145" spans="1:25" x14ac:dyDescent="0.25">
      <c r="A145" s="606">
        <f t="shared" si="10"/>
        <v>141</v>
      </c>
      <c r="B145" s="617">
        <f t="shared" si="8"/>
        <v>28040.25</v>
      </c>
      <c r="C145" s="618" t="str">
        <f t="shared" si="11"/>
        <v>/</v>
      </c>
      <c r="D145" s="617">
        <f t="shared" si="9"/>
        <v>29048.25</v>
      </c>
      <c r="E145" s="619">
        <f>E143+1</f>
        <v>71</v>
      </c>
      <c r="F145" s="618">
        <f>28500.5-955.5+7*E145</f>
        <v>28042</v>
      </c>
      <c r="G145" s="620" t="s">
        <v>106</v>
      </c>
      <c r="H145" s="621">
        <f>28500.5+52.5+7*E145</f>
        <v>29050</v>
      </c>
      <c r="I145" s="619"/>
      <c r="J145" s="618"/>
      <c r="K145" s="618"/>
      <c r="L145" s="622"/>
      <c r="M145" s="619"/>
      <c r="N145" s="618"/>
      <c r="O145" s="618"/>
      <c r="P145" s="622"/>
      <c r="Q145" s="619"/>
      <c r="R145" s="623"/>
      <c r="S145" s="624"/>
      <c r="T145" s="622"/>
      <c r="U145" s="619"/>
      <c r="V145" s="624"/>
      <c r="W145" s="624"/>
      <c r="X145" s="625"/>
      <c r="Y145" s="630"/>
    </row>
    <row r="146" spans="1:25" x14ac:dyDescent="0.25">
      <c r="A146" s="606">
        <f t="shared" si="10"/>
        <v>142</v>
      </c>
      <c r="B146" s="617">
        <f t="shared" si="8"/>
        <v>28043.75</v>
      </c>
      <c r="C146" s="618" t="str">
        <f t="shared" si="11"/>
        <v>/</v>
      </c>
      <c r="D146" s="617">
        <f t="shared" si="9"/>
        <v>29051.75</v>
      </c>
      <c r="E146" s="619"/>
      <c r="F146" s="618"/>
      <c r="G146" s="620"/>
      <c r="H146" s="622"/>
      <c r="I146" s="619">
        <f>I142+1</f>
        <v>36</v>
      </c>
      <c r="J146" s="618">
        <f>28500.5-959+14*I146</f>
        <v>28045.5</v>
      </c>
      <c r="K146" s="620" t="s">
        <v>106</v>
      </c>
      <c r="L146" s="621">
        <f>28500.5+49+14*I146</f>
        <v>29053.5</v>
      </c>
      <c r="M146" s="619"/>
      <c r="N146" s="618"/>
      <c r="O146" s="618"/>
      <c r="P146" s="622"/>
      <c r="Q146" s="619"/>
      <c r="R146" s="623"/>
      <c r="S146" s="624"/>
      <c r="T146" s="622"/>
      <c r="U146" s="619"/>
      <c r="V146" s="624"/>
      <c r="W146" s="624"/>
      <c r="X146" s="625"/>
      <c r="Y146" s="630"/>
    </row>
    <row r="147" spans="1:25" x14ac:dyDescent="0.25">
      <c r="A147" s="606">
        <f t="shared" si="10"/>
        <v>143</v>
      </c>
      <c r="B147" s="617">
        <f t="shared" si="8"/>
        <v>28047.25</v>
      </c>
      <c r="C147" s="618" t="str">
        <f t="shared" si="11"/>
        <v>/</v>
      </c>
      <c r="D147" s="617">
        <f t="shared" si="9"/>
        <v>29055.25</v>
      </c>
      <c r="E147" s="619">
        <f>E145+1</f>
        <v>72</v>
      </c>
      <c r="F147" s="618">
        <f>28500.5-955.5+7*E147</f>
        <v>28049</v>
      </c>
      <c r="G147" s="620" t="s">
        <v>106</v>
      </c>
      <c r="H147" s="621">
        <f>28500.5+52.5+7*E147</f>
        <v>29057</v>
      </c>
      <c r="I147" s="619"/>
      <c r="J147" s="618"/>
      <c r="K147" s="618"/>
      <c r="L147" s="621"/>
      <c r="M147" s="619"/>
      <c r="N147" s="618"/>
      <c r="O147" s="618"/>
      <c r="P147" s="622"/>
      <c r="Q147" s="619"/>
      <c r="R147" s="623"/>
      <c r="S147" s="624"/>
      <c r="T147" s="622"/>
      <c r="U147" s="619"/>
      <c r="V147" s="624"/>
      <c r="W147" s="624"/>
      <c r="X147" s="625"/>
      <c r="Y147" s="630"/>
    </row>
    <row r="148" spans="1:25" x14ac:dyDescent="0.25">
      <c r="A148" s="189">
        <f t="shared" si="10"/>
        <v>144</v>
      </c>
      <c r="B148" s="256">
        <f t="shared" si="8"/>
        <v>28050.75</v>
      </c>
      <c r="C148" s="259" t="str">
        <f t="shared" si="11"/>
        <v>/</v>
      </c>
      <c r="D148" s="256">
        <f t="shared" si="9"/>
        <v>29058.75</v>
      </c>
      <c r="E148" s="258"/>
      <c r="F148" s="259"/>
      <c r="G148" s="260"/>
      <c r="H148" s="261"/>
      <c r="I148" s="258"/>
      <c r="J148" s="259"/>
      <c r="K148" s="259"/>
      <c r="L148" s="261"/>
      <c r="M148" s="258"/>
      <c r="N148" s="259"/>
      <c r="O148" s="259"/>
      <c r="P148" s="261"/>
      <c r="Q148" s="258"/>
      <c r="R148" s="262"/>
      <c r="S148" s="263"/>
      <c r="T148" s="261"/>
      <c r="U148" s="619">
        <f>U116+1</f>
        <v>5</v>
      </c>
      <c r="V148" s="618">
        <f>28500.5-1008+112*U148</f>
        <v>28052.5</v>
      </c>
      <c r="W148" s="620" t="s">
        <v>106</v>
      </c>
      <c r="X148" s="628">
        <f>28500.5+112*U148</f>
        <v>29060.5</v>
      </c>
      <c r="Y148" s="784" t="s">
        <v>209</v>
      </c>
    </row>
    <row r="149" spans="1:25" x14ac:dyDescent="0.25">
      <c r="A149" s="606">
        <f t="shared" si="10"/>
        <v>145</v>
      </c>
      <c r="B149" s="617">
        <f t="shared" si="8"/>
        <v>28054.25</v>
      </c>
      <c r="C149" s="618" t="str">
        <f t="shared" si="11"/>
        <v>/</v>
      </c>
      <c r="D149" s="617">
        <f t="shared" si="9"/>
        <v>29062.25</v>
      </c>
      <c r="E149" s="619">
        <f>E147+1</f>
        <v>73</v>
      </c>
      <c r="F149" s="618">
        <f>28500.5-955.5+7*E149</f>
        <v>28056</v>
      </c>
      <c r="G149" s="620" t="s">
        <v>106</v>
      </c>
      <c r="H149" s="621">
        <f>28500.5+52.5+7*E149</f>
        <v>29064</v>
      </c>
      <c r="I149" s="619"/>
      <c r="J149" s="618"/>
      <c r="K149" s="618"/>
      <c r="L149" s="622"/>
      <c r="M149" s="619"/>
      <c r="N149" s="618"/>
      <c r="O149" s="618"/>
      <c r="P149" s="622"/>
      <c r="Q149" s="619"/>
      <c r="R149" s="623"/>
      <c r="S149" s="624"/>
      <c r="T149" s="622"/>
      <c r="U149" s="619"/>
      <c r="V149" s="624"/>
      <c r="W149" s="624"/>
      <c r="X149" s="622"/>
      <c r="Y149" s="538"/>
    </row>
    <row r="150" spans="1:25" x14ac:dyDescent="0.25">
      <c r="A150" s="606">
        <f t="shared" si="10"/>
        <v>146</v>
      </c>
      <c r="B150" s="617">
        <f t="shared" si="8"/>
        <v>28057.75</v>
      </c>
      <c r="C150" s="618" t="str">
        <f t="shared" si="11"/>
        <v>/</v>
      </c>
      <c r="D150" s="617">
        <f t="shared" si="9"/>
        <v>29065.75</v>
      </c>
      <c r="E150" s="619"/>
      <c r="F150" s="618"/>
      <c r="G150" s="620"/>
      <c r="H150" s="622"/>
      <c r="I150" s="619">
        <f>I146+1</f>
        <v>37</v>
      </c>
      <c r="J150" s="618">
        <f>28500.5-959+14*I150</f>
        <v>28059.5</v>
      </c>
      <c r="K150" s="620" t="s">
        <v>106</v>
      </c>
      <c r="L150" s="621">
        <f>28500.5+49+14*I150</f>
        <v>29067.5</v>
      </c>
      <c r="M150" s="619"/>
      <c r="N150" s="618"/>
      <c r="O150" s="618"/>
      <c r="P150" s="622"/>
      <c r="Q150" s="619"/>
      <c r="R150" s="623"/>
      <c r="S150" s="624"/>
      <c r="T150" s="622"/>
      <c r="U150" s="619"/>
      <c r="V150" s="624"/>
      <c r="W150" s="624"/>
      <c r="X150" s="622"/>
      <c r="Y150" s="636"/>
    </row>
    <row r="151" spans="1:25" x14ac:dyDescent="0.25">
      <c r="A151" s="606">
        <f t="shared" si="10"/>
        <v>147</v>
      </c>
      <c r="B151" s="617">
        <f t="shared" si="8"/>
        <v>28061.25</v>
      </c>
      <c r="C151" s="618" t="str">
        <f t="shared" si="11"/>
        <v>/</v>
      </c>
      <c r="D151" s="617">
        <f t="shared" si="9"/>
        <v>29069.25</v>
      </c>
      <c r="E151" s="619">
        <f>E149+1</f>
        <v>74</v>
      </c>
      <c r="F151" s="618">
        <f>28500.5-955.5+7*E151</f>
        <v>28063</v>
      </c>
      <c r="G151" s="620" t="s">
        <v>106</v>
      </c>
      <c r="H151" s="621">
        <f>28500.5+52.5+7*E151</f>
        <v>29071</v>
      </c>
      <c r="I151" s="619"/>
      <c r="J151" s="618"/>
      <c r="K151" s="618"/>
      <c r="L151" s="621"/>
      <c r="M151" s="619"/>
      <c r="N151" s="618"/>
      <c r="O151" s="618"/>
      <c r="P151" s="622"/>
      <c r="Q151" s="619"/>
      <c r="R151" s="623"/>
      <c r="S151" s="624"/>
      <c r="T151" s="622"/>
      <c r="U151" s="619"/>
      <c r="V151" s="624"/>
      <c r="W151" s="624"/>
      <c r="X151" s="622"/>
      <c r="Y151" s="636"/>
    </row>
    <row r="152" spans="1:25" x14ac:dyDescent="0.25">
      <c r="A152" s="606">
        <f t="shared" si="10"/>
        <v>148</v>
      </c>
      <c r="B152" s="617">
        <f t="shared" si="8"/>
        <v>28064.75</v>
      </c>
      <c r="C152" s="618" t="str">
        <f t="shared" si="11"/>
        <v>/</v>
      </c>
      <c r="D152" s="617">
        <f t="shared" si="9"/>
        <v>29072.75</v>
      </c>
      <c r="E152" s="619"/>
      <c r="F152" s="618"/>
      <c r="G152" s="620"/>
      <c r="H152" s="622"/>
      <c r="I152" s="619"/>
      <c r="J152" s="618"/>
      <c r="K152" s="618"/>
      <c r="L152" s="622"/>
      <c r="M152" s="619">
        <f>M144+1</f>
        <v>19</v>
      </c>
      <c r="N152" s="618">
        <f>28500.5-966+28*M152</f>
        <v>28066.5</v>
      </c>
      <c r="O152" s="620" t="s">
        <v>106</v>
      </c>
      <c r="P152" s="621">
        <f>28500.5+42+28*M152</f>
        <v>29074.5</v>
      </c>
      <c r="Q152" s="619"/>
      <c r="R152" s="627"/>
      <c r="S152" s="620"/>
      <c r="T152" s="621"/>
      <c r="U152" s="619"/>
      <c r="V152" s="618"/>
      <c r="W152" s="620"/>
      <c r="X152" s="621"/>
      <c r="Y152" s="636"/>
    </row>
    <row r="153" spans="1:25" x14ac:dyDescent="0.25">
      <c r="A153" s="606">
        <f t="shared" si="10"/>
        <v>149</v>
      </c>
      <c r="B153" s="617">
        <f t="shared" si="8"/>
        <v>28068.25</v>
      </c>
      <c r="C153" s="618" t="str">
        <f t="shared" si="11"/>
        <v>/</v>
      </c>
      <c r="D153" s="617">
        <f t="shared" si="9"/>
        <v>29076.25</v>
      </c>
      <c r="E153" s="619">
        <f>E151+1</f>
        <v>75</v>
      </c>
      <c r="F153" s="618">
        <f>28500.5-955.5+7*E153</f>
        <v>28070</v>
      </c>
      <c r="G153" s="620" t="s">
        <v>106</v>
      </c>
      <c r="H153" s="621">
        <f>28500.5+52.5+7*E153</f>
        <v>29078</v>
      </c>
      <c r="I153" s="619"/>
      <c r="J153" s="618"/>
      <c r="K153" s="618"/>
      <c r="L153" s="622"/>
      <c r="M153" s="619"/>
      <c r="N153" s="618"/>
      <c r="O153" s="618"/>
      <c r="P153" s="622"/>
      <c r="Q153" s="619"/>
      <c r="R153" s="623"/>
      <c r="S153" s="624"/>
      <c r="T153" s="622"/>
      <c r="U153" s="619"/>
      <c r="V153" s="624"/>
      <c r="W153" s="624"/>
      <c r="X153" s="622"/>
      <c r="Y153" s="636"/>
    </row>
    <row r="154" spans="1:25" x14ac:dyDescent="0.25">
      <c r="A154" s="606">
        <f t="shared" si="10"/>
        <v>150</v>
      </c>
      <c r="B154" s="617">
        <f t="shared" si="8"/>
        <v>28071.75</v>
      </c>
      <c r="C154" s="618" t="str">
        <f t="shared" si="11"/>
        <v>/</v>
      </c>
      <c r="D154" s="617">
        <f t="shared" si="9"/>
        <v>29079.75</v>
      </c>
      <c r="E154" s="619"/>
      <c r="F154" s="618"/>
      <c r="G154" s="620"/>
      <c r="H154" s="622"/>
      <c r="I154" s="619">
        <f>I150+1</f>
        <v>38</v>
      </c>
      <c r="J154" s="618">
        <f>28500.5-959+14*I154</f>
        <v>28073.5</v>
      </c>
      <c r="K154" s="620" t="s">
        <v>106</v>
      </c>
      <c r="L154" s="621">
        <f>28500.5+49+14*I154</f>
        <v>29081.5</v>
      </c>
      <c r="M154" s="619"/>
      <c r="N154" s="618"/>
      <c r="O154" s="618"/>
      <c r="P154" s="622"/>
      <c r="Q154" s="619"/>
      <c r="R154" s="623"/>
      <c r="S154" s="624"/>
      <c r="T154" s="622"/>
      <c r="U154" s="619"/>
      <c r="V154" s="624"/>
      <c r="W154" s="624"/>
      <c r="X154" s="622"/>
      <c r="Y154" s="636"/>
    </row>
    <row r="155" spans="1:25" x14ac:dyDescent="0.25">
      <c r="A155" s="606">
        <f t="shared" si="10"/>
        <v>151</v>
      </c>
      <c r="B155" s="617">
        <f t="shared" si="8"/>
        <v>28075.25</v>
      </c>
      <c r="C155" s="618" t="str">
        <f t="shared" si="11"/>
        <v>/</v>
      </c>
      <c r="D155" s="617">
        <f t="shared" si="9"/>
        <v>29083.25</v>
      </c>
      <c r="E155" s="619">
        <f>E153+1</f>
        <v>76</v>
      </c>
      <c r="F155" s="618">
        <f>28500.5-955.5+7*E155</f>
        <v>28077</v>
      </c>
      <c r="G155" s="620" t="s">
        <v>106</v>
      </c>
      <c r="H155" s="621">
        <f>28500.5+52.5+7*E155</f>
        <v>29085</v>
      </c>
      <c r="I155" s="619"/>
      <c r="J155" s="618"/>
      <c r="K155" s="618"/>
      <c r="L155" s="621"/>
      <c r="M155" s="619"/>
      <c r="N155" s="618"/>
      <c r="O155" s="618"/>
      <c r="P155" s="622"/>
      <c r="Q155" s="619"/>
      <c r="R155" s="623"/>
      <c r="S155" s="624"/>
      <c r="T155" s="622"/>
      <c r="U155" s="619"/>
      <c r="V155" s="624"/>
      <c r="W155" s="624"/>
      <c r="X155" s="622"/>
      <c r="Y155" s="633" t="s">
        <v>156</v>
      </c>
    </row>
    <row r="156" spans="1:25" x14ac:dyDescent="0.25">
      <c r="A156" s="606">
        <f t="shared" si="10"/>
        <v>152</v>
      </c>
      <c r="B156" s="617">
        <f t="shared" si="8"/>
        <v>28078.75</v>
      </c>
      <c r="C156" s="618" t="str">
        <f t="shared" si="11"/>
        <v>/</v>
      </c>
      <c r="D156" s="617">
        <f t="shared" si="9"/>
        <v>29086.75</v>
      </c>
      <c r="E156" s="619"/>
      <c r="F156" s="618"/>
      <c r="G156" s="620"/>
      <c r="H156" s="622"/>
      <c r="I156" s="619"/>
      <c r="J156" s="618"/>
      <c r="K156" s="618"/>
      <c r="L156" s="622"/>
      <c r="M156" s="619"/>
      <c r="N156" s="618"/>
      <c r="O156" s="618"/>
      <c r="P156" s="622"/>
      <c r="Q156" s="619">
        <f>Q140+1</f>
        <v>10</v>
      </c>
      <c r="R156" s="627">
        <f>28500.5-980+56*Q156</f>
        <v>28080.5</v>
      </c>
      <c r="S156" s="620" t="s">
        <v>106</v>
      </c>
      <c r="T156" s="621">
        <f>28500.5+28+56*Q156</f>
        <v>29088.5</v>
      </c>
      <c r="U156" s="619"/>
      <c r="V156" s="624"/>
      <c r="W156" s="624"/>
      <c r="X156" s="622"/>
      <c r="Y156" s="634"/>
    </row>
    <row r="157" spans="1:25" x14ac:dyDescent="0.25">
      <c r="A157" s="606">
        <f t="shared" si="10"/>
        <v>153</v>
      </c>
      <c r="B157" s="617">
        <f t="shared" si="8"/>
        <v>28082.25</v>
      </c>
      <c r="C157" s="618" t="str">
        <f t="shared" si="11"/>
        <v>/</v>
      </c>
      <c r="D157" s="617">
        <f t="shared" si="9"/>
        <v>29090.25</v>
      </c>
      <c r="E157" s="619">
        <f>E155+1</f>
        <v>77</v>
      </c>
      <c r="F157" s="618">
        <f>28500.5-955.5+7*E157</f>
        <v>28084</v>
      </c>
      <c r="G157" s="620" t="s">
        <v>106</v>
      </c>
      <c r="H157" s="621">
        <f>28500.5+52.5+7*E157</f>
        <v>29092</v>
      </c>
      <c r="I157" s="619"/>
      <c r="J157" s="618"/>
      <c r="K157" s="618"/>
      <c r="L157" s="622"/>
      <c r="M157" s="619"/>
      <c r="N157" s="618"/>
      <c r="O157" s="618"/>
      <c r="P157" s="622"/>
      <c r="Q157" s="619"/>
      <c r="R157" s="623"/>
      <c r="S157" s="624"/>
      <c r="T157" s="622"/>
      <c r="U157" s="619"/>
      <c r="V157" s="624"/>
      <c r="W157" s="624"/>
      <c r="X157" s="622"/>
      <c r="Y157" s="634"/>
    </row>
    <row r="158" spans="1:25" x14ac:dyDescent="0.25">
      <c r="A158" s="606">
        <f t="shared" si="10"/>
        <v>154</v>
      </c>
      <c r="B158" s="617">
        <f t="shared" si="8"/>
        <v>28085.75</v>
      </c>
      <c r="C158" s="618" t="str">
        <f t="shared" si="11"/>
        <v>/</v>
      </c>
      <c r="D158" s="617">
        <f t="shared" si="9"/>
        <v>29093.75</v>
      </c>
      <c r="E158" s="619"/>
      <c r="F158" s="618"/>
      <c r="G158" s="620"/>
      <c r="H158" s="622"/>
      <c r="I158" s="619">
        <f>I154+1</f>
        <v>39</v>
      </c>
      <c r="J158" s="618">
        <f>28500.5-959+14*I158</f>
        <v>28087.5</v>
      </c>
      <c r="K158" s="620" t="s">
        <v>106</v>
      </c>
      <c r="L158" s="621">
        <f>28500.5+49+14*I158</f>
        <v>29095.5</v>
      </c>
      <c r="M158" s="619"/>
      <c r="N158" s="618"/>
      <c r="O158" s="618"/>
      <c r="P158" s="622"/>
      <c r="Q158" s="619"/>
      <c r="R158" s="623"/>
      <c r="S158" s="624"/>
      <c r="T158" s="622"/>
      <c r="U158" s="619"/>
      <c r="V158" s="624"/>
      <c r="W158" s="624"/>
      <c r="X158" s="622"/>
      <c r="Y158" s="635"/>
    </row>
    <row r="159" spans="1:25" x14ac:dyDescent="0.25">
      <c r="A159" s="606">
        <f t="shared" si="10"/>
        <v>155</v>
      </c>
      <c r="B159" s="617">
        <f t="shared" si="8"/>
        <v>28089.25</v>
      </c>
      <c r="C159" s="618" t="str">
        <f t="shared" si="11"/>
        <v>/</v>
      </c>
      <c r="D159" s="617">
        <f t="shared" si="9"/>
        <v>29097.25</v>
      </c>
      <c r="E159" s="619">
        <f>E157+1</f>
        <v>78</v>
      </c>
      <c r="F159" s="618">
        <f>28500.5-955.5+7*E159</f>
        <v>28091</v>
      </c>
      <c r="G159" s="620" t="s">
        <v>106</v>
      </c>
      <c r="H159" s="621">
        <f>28500.5+52.5+7*E159</f>
        <v>29099</v>
      </c>
      <c r="I159" s="619"/>
      <c r="J159" s="618"/>
      <c r="K159" s="618"/>
      <c r="L159" s="621"/>
      <c r="M159" s="619"/>
      <c r="N159" s="618"/>
      <c r="O159" s="618"/>
      <c r="P159" s="622"/>
      <c r="Q159" s="619"/>
      <c r="R159" s="623"/>
      <c r="S159" s="624"/>
      <c r="T159" s="622"/>
      <c r="U159" s="619"/>
      <c r="V159" s="624"/>
      <c r="W159" s="624"/>
      <c r="X159" s="622"/>
      <c r="Y159" s="636"/>
    </row>
    <row r="160" spans="1:25" x14ac:dyDescent="0.25">
      <c r="A160" s="606">
        <f t="shared" si="10"/>
        <v>156</v>
      </c>
      <c r="B160" s="617">
        <f t="shared" si="8"/>
        <v>28092.75</v>
      </c>
      <c r="C160" s="618" t="str">
        <f t="shared" si="11"/>
        <v>/</v>
      </c>
      <c r="D160" s="617">
        <f t="shared" si="9"/>
        <v>29100.75</v>
      </c>
      <c r="E160" s="619"/>
      <c r="F160" s="618"/>
      <c r="G160" s="620"/>
      <c r="H160" s="622"/>
      <c r="I160" s="619"/>
      <c r="J160" s="618"/>
      <c r="K160" s="618"/>
      <c r="L160" s="622"/>
      <c r="M160" s="619">
        <f>M152+1</f>
        <v>20</v>
      </c>
      <c r="N160" s="618">
        <f>28500.5-966+28*M160</f>
        <v>28094.5</v>
      </c>
      <c r="O160" s="620" t="s">
        <v>106</v>
      </c>
      <c r="P160" s="621">
        <f>28500.5+42+28*M160</f>
        <v>29102.5</v>
      </c>
      <c r="Q160" s="619"/>
      <c r="R160" s="623"/>
      <c r="S160" s="624"/>
      <c r="T160" s="622"/>
      <c r="U160" s="619"/>
      <c r="V160" s="624"/>
      <c r="W160" s="624"/>
      <c r="X160" s="622"/>
      <c r="Y160" s="636"/>
    </row>
    <row r="161" spans="1:25" x14ac:dyDescent="0.25">
      <c r="A161" s="606">
        <f t="shared" si="10"/>
        <v>157</v>
      </c>
      <c r="B161" s="617">
        <f t="shared" si="8"/>
        <v>28096.25</v>
      </c>
      <c r="C161" s="618" t="str">
        <f t="shared" si="11"/>
        <v>/</v>
      </c>
      <c r="D161" s="617">
        <f t="shared" si="9"/>
        <v>29104.25</v>
      </c>
      <c r="E161" s="619">
        <f>E159+1</f>
        <v>79</v>
      </c>
      <c r="F161" s="618">
        <f>28500.5-955.5+7*E161</f>
        <v>28098</v>
      </c>
      <c r="G161" s="620" t="s">
        <v>106</v>
      </c>
      <c r="H161" s="621">
        <f>28500.5+52.5+7*E161</f>
        <v>29106</v>
      </c>
      <c r="I161" s="619"/>
      <c r="J161" s="618"/>
      <c r="K161" s="618"/>
      <c r="L161" s="622"/>
      <c r="M161" s="619"/>
      <c r="N161" s="618"/>
      <c r="O161" s="618"/>
      <c r="P161" s="622"/>
      <c r="Q161" s="619"/>
      <c r="R161" s="623"/>
      <c r="S161" s="624"/>
      <c r="T161" s="622"/>
      <c r="U161" s="619"/>
      <c r="V161" s="624"/>
      <c r="W161" s="624"/>
      <c r="X161" s="622"/>
      <c r="Y161" s="636"/>
    </row>
    <row r="162" spans="1:25" x14ac:dyDescent="0.25">
      <c r="A162" s="606">
        <f t="shared" si="10"/>
        <v>158</v>
      </c>
      <c r="B162" s="617">
        <f t="shared" si="8"/>
        <v>28099.75</v>
      </c>
      <c r="C162" s="618" t="str">
        <f t="shared" si="11"/>
        <v>/</v>
      </c>
      <c r="D162" s="617">
        <f t="shared" si="9"/>
        <v>29107.75</v>
      </c>
      <c r="E162" s="619"/>
      <c r="F162" s="618"/>
      <c r="G162" s="620"/>
      <c r="H162" s="622"/>
      <c r="I162" s="619">
        <f>I158+1</f>
        <v>40</v>
      </c>
      <c r="J162" s="618">
        <f>28500.5-959+14*I162</f>
        <v>28101.5</v>
      </c>
      <c r="K162" s="620" t="s">
        <v>106</v>
      </c>
      <c r="L162" s="621">
        <f>28500.5+49+14*I162</f>
        <v>29109.5</v>
      </c>
      <c r="M162" s="619"/>
      <c r="N162" s="618"/>
      <c r="O162" s="618"/>
      <c r="P162" s="622"/>
      <c r="Q162" s="619"/>
      <c r="R162" s="623"/>
      <c r="S162" s="624"/>
      <c r="T162" s="622"/>
      <c r="U162" s="619"/>
      <c r="V162" s="624"/>
      <c r="W162" s="624"/>
      <c r="X162" s="622"/>
      <c r="Y162" s="637"/>
    </row>
    <row r="163" spans="1:25" x14ac:dyDescent="0.25">
      <c r="A163" s="606">
        <f t="shared" si="10"/>
        <v>159</v>
      </c>
      <c r="B163" s="617">
        <f t="shared" si="8"/>
        <v>28103.25</v>
      </c>
      <c r="C163" s="618" t="str">
        <f t="shared" si="11"/>
        <v>/</v>
      </c>
      <c r="D163" s="617">
        <f t="shared" si="9"/>
        <v>29111.25</v>
      </c>
      <c r="E163" s="619">
        <f>E161+1</f>
        <v>80</v>
      </c>
      <c r="F163" s="618">
        <f>28500.5-955.5+7*E163</f>
        <v>28105</v>
      </c>
      <c r="G163" s="620" t="s">
        <v>106</v>
      </c>
      <c r="H163" s="621">
        <f>28500.5+52.5+7*E163</f>
        <v>29113</v>
      </c>
      <c r="I163" s="619"/>
      <c r="J163" s="618"/>
      <c r="K163" s="618"/>
      <c r="L163" s="621"/>
      <c r="M163" s="619"/>
      <c r="N163" s="618"/>
      <c r="O163" s="618"/>
      <c r="P163" s="622"/>
      <c r="Q163" s="619"/>
      <c r="R163" s="623"/>
      <c r="S163" s="624"/>
      <c r="T163" s="622"/>
      <c r="U163" s="619"/>
      <c r="V163" s="624"/>
      <c r="W163" s="624"/>
      <c r="X163" s="622"/>
      <c r="Y163" s="636"/>
    </row>
    <row r="164" spans="1:25" x14ac:dyDescent="0.25">
      <c r="A164" s="189">
        <f t="shared" si="10"/>
        <v>160</v>
      </c>
      <c r="B164" s="256">
        <f t="shared" si="8"/>
        <v>28106.75</v>
      </c>
      <c r="C164" s="259" t="str">
        <f t="shared" si="11"/>
        <v>/</v>
      </c>
      <c r="D164" s="256">
        <f t="shared" si="9"/>
        <v>29114.75</v>
      </c>
      <c r="E164" s="269"/>
      <c r="F164" s="259"/>
      <c r="G164" s="260"/>
      <c r="H164" s="261"/>
      <c r="I164" s="258"/>
      <c r="J164" s="259"/>
      <c r="K164" s="259"/>
      <c r="L164" s="261"/>
      <c r="M164" s="258"/>
      <c r="N164" s="259"/>
      <c r="O164" s="259"/>
      <c r="P164" s="261"/>
      <c r="Q164" s="258"/>
      <c r="R164" s="262"/>
      <c r="S164" s="263"/>
      <c r="T164" s="261"/>
      <c r="U164" s="792"/>
      <c r="V164" s="793"/>
      <c r="W164" s="793"/>
      <c r="X164" s="794"/>
      <c r="Y164" s="785" t="s">
        <v>209</v>
      </c>
    </row>
    <row r="165" spans="1:25" x14ac:dyDescent="0.25">
      <c r="A165" s="606">
        <f t="shared" si="10"/>
        <v>161</v>
      </c>
      <c r="B165" s="617">
        <f t="shared" si="8"/>
        <v>28110.25</v>
      </c>
      <c r="C165" s="618" t="str">
        <f t="shared" si="11"/>
        <v>/</v>
      </c>
      <c r="D165" s="617">
        <f t="shared" si="9"/>
        <v>29118.25</v>
      </c>
      <c r="E165" s="638">
        <f>E163+1</f>
        <v>81</v>
      </c>
      <c r="F165" s="618">
        <f>28500.5-955.5+7*E165</f>
        <v>28112</v>
      </c>
      <c r="G165" s="620" t="s">
        <v>106</v>
      </c>
      <c r="H165" s="621">
        <f>28500.5+52.5+7*E165</f>
        <v>29120</v>
      </c>
      <c r="I165" s="619"/>
      <c r="J165" s="618"/>
      <c r="K165" s="618"/>
      <c r="L165" s="622"/>
      <c r="M165" s="619"/>
      <c r="N165" s="618"/>
      <c r="O165" s="618"/>
      <c r="P165" s="622"/>
      <c r="Q165" s="619"/>
      <c r="R165" s="623"/>
      <c r="S165" s="624"/>
      <c r="T165" s="622"/>
      <c r="U165" s="619"/>
      <c r="V165" s="624"/>
      <c r="W165" s="624"/>
      <c r="X165" s="622"/>
      <c r="Y165" s="636"/>
    </row>
    <row r="166" spans="1:25" x14ac:dyDescent="0.25">
      <c r="A166" s="606">
        <f t="shared" si="10"/>
        <v>162</v>
      </c>
      <c r="B166" s="617">
        <f t="shared" si="8"/>
        <v>28113.75</v>
      </c>
      <c r="C166" s="618" t="str">
        <f t="shared" si="11"/>
        <v>/</v>
      </c>
      <c r="D166" s="617">
        <f t="shared" si="9"/>
        <v>29121.75</v>
      </c>
      <c r="E166" s="638"/>
      <c r="F166" s="618"/>
      <c r="G166" s="620"/>
      <c r="H166" s="622"/>
      <c r="I166" s="619">
        <f>I162+1</f>
        <v>41</v>
      </c>
      <c r="J166" s="618">
        <f>28500.5-959+14*I166</f>
        <v>28115.5</v>
      </c>
      <c r="K166" s="620" t="s">
        <v>106</v>
      </c>
      <c r="L166" s="621">
        <f>28500.5+49+14*I166</f>
        <v>29123.5</v>
      </c>
      <c r="M166" s="619"/>
      <c r="N166" s="618"/>
      <c r="O166" s="618"/>
      <c r="P166" s="622"/>
      <c r="Q166" s="619"/>
      <c r="R166" s="623"/>
      <c r="S166" s="624"/>
      <c r="T166" s="622"/>
      <c r="U166" s="619"/>
      <c r="V166" s="624"/>
      <c r="W166" s="624"/>
      <c r="X166" s="622"/>
      <c r="Y166" s="636"/>
    </row>
    <row r="167" spans="1:25" x14ac:dyDescent="0.25">
      <c r="A167" s="606">
        <f t="shared" si="10"/>
        <v>163</v>
      </c>
      <c r="B167" s="617">
        <f t="shared" si="8"/>
        <v>28117.25</v>
      </c>
      <c r="C167" s="618" t="str">
        <f t="shared" si="11"/>
        <v>/</v>
      </c>
      <c r="D167" s="617">
        <f t="shared" si="9"/>
        <v>29125.25</v>
      </c>
      <c r="E167" s="638">
        <f>E165+1</f>
        <v>82</v>
      </c>
      <c r="F167" s="618">
        <f>28500.5-955.5+7*E167</f>
        <v>28119</v>
      </c>
      <c r="G167" s="620" t="s">
        <v>106</v>
      </c>
      <c r="H167" s="621">
        <f>28500.5+52.5+7*E167</f>
        <v>29127</v>
      </c>
      <c r="I167" s="619"/>
      <c r="J167" s="618"/>
      <c r="K167" s="618"/>
      <c r="L167" s="621"/>
      <c r="M167" s="619"/>
      <c r="N167" s="618"/>
      <c r="O167" s="618"/>
      <c r="P167" s="622"/>
      <c r="Q167" s="619"/>
      <c r="R167" s="623"/>
      <c r="S167" s="624"/>
      <c r="T167" s="622"/>
      <c r="U167" s="619"/>
      <c r="V167" s="624"/>
      <c r="W167" s="624"/>
      <c r="X167" s="622"/>
      <c r="Y167" s="636"/>
    </row>
    <row r="168" spans="1:25" x14ac:dyDescent="0.25">
      <c r="A168" s="606">
        <f t="shared" si="10"/>
        <v>164</v>
      </c>
      <c r="B168" s="617">
        <f t="shared" si="8"/>
        <v>28120.75</v>
      </c>
      <c r="C168" s="618" t="str">
        <f t="shared" si="11"/>
        <v>/</v>
      </c>
      <c r="D168" s="617">
        <f t="shared" si="9"/>
        <v>29128.75</v>
      </c>
      <c r="E168" s="638"/>
      <c r="F168" s="618"/>
      <c r="G168" s="620"/>
      <c r="H168" s="622"/>
      <c r="I168" s="619"/>
      <c r="J168" s="618"/>
      <c r="K168" s="618"/>
      <c r="L168" s="622"/>
      <c r="M168" s="619">
        <f>M160+1</f>
        <v>21</v>
      </c>
      <c r="N168" s="618">
        <f>28500.5-966+28*M168</f>
        <v>28122.5</v>
      </c>
      <c r="O168" s="620" t="s">
        <v>106</v>
      </c>
      <c r="P168" s="621">
        <f>28500.5+42+28*M168</f>
        <v>29130.5</v>
      </c>
      <c r="Q168" s="619"/>
      <c r="R168" s="627"/>
      <c r="S168" s="620"/>
      <c r="T168" s="621"/>
      <c r="U168" s="619"/>
      <c r="V168" s="624"/>
      <c r="W168" s="624"/>
      <c r="X168" s="622"/>
      <c r="Y168" s="636"/>
    </row>
    <row r="169" spans="1:25" x14ac:dyDescent="0.25">
      <c r="A169" s="606">
        <f t="shared" si="10"/>
        <v>165</v>
      </c>
      <c r="B169" s="617">
        <f t="shared" si="8"/>
        <v>28124.25</v>
      </c>
      <c r="C169" s="618" t="str">
        <f t="shared" si="11"/>
        <v>/</v>
      </c>
      <c r="D169" s="617">
        <f t="shared" si="9"/>
        <v>29132.25</v>
      </c>
      <c r="E169" s="638">
        <f>E167+1</f>
        <v>83</v>
      </c>
      <c r="F169" s="618">
        <f>28500.5-955.5+7*E169</f>
        <v>28126</v>
      </c>
      <c r="G169" s="620" t="s">
        <v>106</v>
      </c>
      <c r="H169" s="621">
        <f>28500.5+52.5+7*E169</f>
        <v>29134</v>
      </c>
      <c r="I169" s="619"/>
      <c r="J169" s="618"/>
      <c r="K169" s="618"/>
      <c r="L169" s="622"/>
      <c r="M169" s="619"/>
      <c r="N169" s="618"/>
      <c r="O169" s="618"/>
      <c r="P169" s="622"/>
      <c r="Q169" s="619"/>
      <c r="R169" s="623"/>
      <c r="S169" s="624"/>
      <c r="T169" s="622"/>
      <c r="U169" s="619"/>
      <c r="V169" s="624"/>
      <c r="W169" s="624"/>
      <c r="X169" s="622"/>
      <c r="Y169" s="636"/>
    </row>
    <row r="170" spans="1:25" x14ac:dyDescent="0.25">
      <c r="A170" s="606">
        <f t="shared" si="10"/>
        <v>166</v>
      </c>
      <c r="B170" s="617">
        <f t="shared" si="8"/>
        <v>28127.75</v>
      </c>
      <c r="C170" s="618" t="str">
        <f t="shared" si="11"/>
        <v>/</v>
      </c>
      <c r="D170" s="617">
        <f t="shared" si="9"/>
        <v>29135.75</v>
      </c>
      <c r="E170" s="638"/>
      <c r="F170" s="618"/>
      <c r="G170" s="618"/>
      <c r="H170" s="622"/>
      <c r="I170" s="619">
        <f>I166+1</f>
        <v>42</v>
      </c>
      <c r="J170" s="618">
        <f>28500.5-959+14*I170</f>
        <v>28129.5</v>
      </c>
      <c r="K170" s="620" t="s">
        <v>106</v>
      </c>
      <c r="L170" s="621">
        <f>28500.5+49+14*I170</f>
        <v>29137.5</v>
      </c>
      <c r="M170" s="619"/>
      <c r="N170" s="618"/>
      <c r="O170" s="618"/>
      <c r="P170" s="622"/>
      <c r="Q170" s="619"/>
      <c r="R170" s="623"/>
      <c r="S170" s="624"/>
      <c r="T170" s="622"/>
      <c r="U170" s="619"/>
      <c r="V170" s="624"/>
      <c r="W170" s="624"/>
      <c r="X170" s="622"/>
      <c r="Y170" s="636"/>
    </row>
    <row r="171" spans="1:25" x14ac:dyDescent="0.25">
      <c r="A171" s="606">
        <f t="shared" si="10"/>
        <v>167</v>
      </c>
      <c r="B171" s="617">
        <f t="shared" si="8"/>
        <v>28131.25</v>
      </c>
      <c r="C171" s="618" t="str">
        <f t="shared" si="11"/>
        <v>/</v>
      </c>
      <c r="D171" s="617">
        <f t="shared" si="9"/>
        <v>29139.25</v>
      </c>
      <c r="E171" s="638">
        <f>E169+1</f>
        <v>84</v>
      </c>
      <c r="F171" s="618">
        <f>28500.5-955.5+7*E171</f>
        <v>28133</v>
      </c>
      <c r="G171" s="620" t="s">
        <v>106</v>
      </c>
      <c r="H171" s="621">
        <f>28500.5+52.5+7*E171</f>
        <v>29141</v>
      </c>
      <c r="I171" s="619"/>
      <c r="J171" s="618"/>
      <c r="K171" s="618"/>
      <c r="L171" s="621"/>
      <c r="M171" s="619"/>
      <c r="N171" s="618"/>
      <c r="O171" s="618"/>
      <c r="P171" s="622"/>
      <c r="Q171" s="619"/>
      <c r="R171" s="623"/>
      <c r="S171" s="624"/>
      <c r="T171" s="622"/>
      <c r="U171" s="619"/>
      <c r="V171" s="624"/>
      <c r="W171" s="624"/>
      <c r="X171" s="622"/>
      <c r="Y171" s="633" t="s">
        <v>156</v>
      </c>
    </row>
    <row r="172" spans="1:25" x14ac:dyDescent="0.25">
      <c r="A172" s="606">
        <f t="shared" si="10"/>
        <v>168</v>
      </c>
      <c r="B172" s="617">
        <f t="shared" si="8"/>
        <v>28134.75</v>
      </c>
      <c r="C172" s="618" t="str">
        <f t="shared" si="11"/>
        <v>/</v>
      </c>
      <c r="D172" s="617">
        <f t="shared" si="9"/>
        <v>29142.75</v>
      </c>
      <c r="E172" s="639"/>
      <c r="F172" s="618"/>
      <c r="G172" s="620"/>
      <c r="H172" s="622"/>
      <c r="I172" s="619"/>
      <c r="J172" s="618"/>
      <c r="K172" s="618"/>
      <c r="L172" s="622"/>
      <c r="M172" s="619"/>
      <c r="N172" s="618"/>
      <c r="O172" s="618"/>
      <c r="P172" s="622"/>
      <c r="Q172" s="619">
        <f>Q156+1</f>
        <v>11</v>
      </c>
      <c r="R172" s="627">
        <f>28500.5-980+56*Q172</f>
        <v>28136.5</v>
      </c>
      <c r="S172" s="620" t="s">
        <v>106</v>
      </c>
      <c r="T172" s="621">
        <f>28500.5+28+56*Q172</f>
        <v>29144.5</v>
      </c>
      <c r="U172" s="619"/>
      <c r="V172" s="640"/>
      <c r="W172" s="624"/>
      <c r="X172" s="641"/>
      <c r="Y172" s="634"/>
    </row>
    <row r="173" spans="1:25" x14ac:dyDescent="0.25">
      <c r="A173" s="606">
        <f t="shared" si="10"/>
        <v>169</v>
      </c>
      <c r="B173" s="617">
        <f t="shared" si="8"/>
        <v>28138.25</v>
      </c>
      <c r="C173" s="618" t="str">
        <f t="shared" si="11"/>
        <v>/</v>
      </c>
      <c r="D173" s="617">
        <f t="shared" si="9"/>
        <v>29146.25</v>
      </c>
      <c r="E173" s="638">
        <f>E171+1</f>
        <v>85</v>
      </c>
      <c r="F173" s="618">
        <f>28500.5-955.5+7*E173</f>
        <v>28140</v>
      </c>
      <c r="G173" s="620" t="s">
        <v>106</v>
      </c>
      <c r="H173" s="621">
        <f>28500.5+52.5+7*E173</f>
        <v>29148</v>
      </c>
      <c r="I173" s="619"/>
      <c r="J173" s="618"/>
      <c r="K173" s="618"/>
      <c r="L173" s="622"/>
      <c r="M173" s="619"/>
      <c r="N173" s="618"/>
      <c r="O173" s="618"/>
      <c r="P173" s="622"/>
      <c r="Q173" s="619"/>
      <c r="R173" s="623"/>
      <c r="S173" s="624"/>
      <c r="T173" s="622"/>
      <c r="U173" s="619"/>
      <c r="V173" s="624"/>
      <c r="W173" s="624"/>
      <c r="X173" s="622"/>
      <c r="Y173" s="634"/>
    </row>
    <row r="174" spans="1:25" x14ac:dyDescent="0.25">
      <c r="A174" s="606">
        <f t="shared" si="10"/>
        <v>170</v>
      </c>
      <c r="B174" s="617">
        <f t="shared" si="8"/>
        <v>28141.75</v>
      </c>
      <c r="C174" s="618" t="str">
        <f t="shared" si="11"/>
        <v>/</v>
      </c>
      <c r="D174" s="617">
        <f t="shared" si="9"/>
        <v>29149.75</v>
      </c>
      <c r="E174" s="638"/>
      <c r="F174" s="618"/>
      <c r="G174" s="620"/>
      <c r="H174" s="622"/>
      <c r="I174" s="619">
        <f>I170+1</f>
        <v>43</v>
      </c>
      <c r="J174" s="618">
        <f>28500.5-959+14*I174</f>
        <v>28143.5</v>
      </c>
      <c r="K174" s="620" t="s">
        <v>106</v>
      </c>
      <c r="L174" s="621">
        <f>28500.5+49+14*I174</f>
        <v>29151.5</v>
      </c>
      <c r="M174" s="619"/>
      <c r="N174" s="618"/>
      <c r="O174" s="618"/>
      <c r="P174" s="622"/>
      <c r="Q174" s="619"/>
      <c r="R174" s="623"/>
      <c r="S174" s="624"/>
      <c r="T174" s="622"/>
      <c r="U174" s="619"/>
      <c r="V174" s="624"/>
      <c r="W174" s="624"/>
      <c r="X174" s="622"/>
      <c r="Y174" s="635"/>
    </row>
    <row r="175" spans="1:25" x14ac:dyDescent="0.25">
      <c r="A175" s="606">
        <f t="shared" si="10"/>
        <v>171</v>
      </c>
      <c r="B175" s="617">
        <f t="shared" si="8"/>
        <v>28145.25</v>
      </c>
      <c r="C175" s="618" t="str">
        <f t="shared" si="11"/>
        <v>/</v>
      </c>
      <c r="D175" s="617">
        <f t="shared" si="9"/>
        <v>29153.25</v>
      </c>
      <c r="E175" s="638">
        <f>E173+1</f>
        <v>86</v>
      </c>
      <c r="F175" s="618">
        <f>28500.5-955.5+7*E175</f>
        <v>28147</v>
      </c>
      <c r="G175" s="620" t="s">
        <v>106</v>
      </c>
      <c r="H175" s="621">
        <f>28500.5+52.5+7*E175</f>
        <v>29155</v>
      </c>
      <c r="I175" s="619"/>
      <c r="J175" s="618"/>
      <c r="K175" s="618"/>
      <c r="L175" s="621"/>
      <c r="M175" s="619"/>
      <c r="N175" s="618"/>
      <c r="O175" s="618"/>
      <c r="P175" s="622"/>
      <c r="Q175" s="619"/>
      <c r="R175" s="623"/>
      <c r="S175" s="624"/>
      <c r="T175" s="622"/>
      <c r="U175" s="619"/>
      <c r="V175" s="624"/>
      <c r="W175" s="624"/>
      <c r="X175" s="622"/>
      <c r="Y175" s="636"/>
    </row>
    <row r="176" spans="1:25" x14ac:dyDescent="0.25">
      <c r="A176" s="606">
        <f t="shared" si="10"/>
        <v>172</v>
      </c>
      <c r="B176" s="617">
        <f t="shared" si="8"/>
        <v>28148.75</v>
      </c>
      <c r="C176" s="618" t="str">
        <f t="shared" si="11"/>
        <v>/</v>
      </c>
      <c r="D176" s="617">
        <f t="shared" si="9"/>
        <v>29156.75</v>
      </c>
      <c r="E176" s="638"/>
      <c r="F176" s="618"/>
      <c r="G176" s="620"/>
      <c r="H176" s="622"/>
      <c r="I176" s="619"/>
      <c r="J176" s="618"/>
      <c r="K176" s="618"/>
      <c r="L176" s="622"/>
      <c r="M176" s="619">
        <f>M168+1</f>
        <v>22</v>
      </c>
      <c r="N176" s="618">
        <f>28500.5-966+28*M176</f>
        <v>28150.5</v>
      </c>
      <c r="O176" s="620" t="s">
        <v>106</v>
      </c>
      <c r="P176" s="621">
        <f>28500.5+42+28*M176</f>
        <v>29158.5</v>
      </c>
      <c r="Q176" s="619"/>
      <c r="R176" s="623"/>
      <c r="S176" s="624"/>
      <c r="T176" s="622"/>
      <c r="U176" s="619"/>
      <c r="V176" s="624"/>
      <c r="W176" s="624"/>
      <c r="X176" s="622"/>
      <c r="Y176" s="636"/>
    </row>
    <row r="177" spans="1:25" x14ac:dyDescent="0.25">
      <c r="A177" s="606">
        <f t="shared" si="10"/>
        <v>173</v>
      </c>
      <c r="B177" s="617">
        <f t="shared" si="8"/>
        <v>28152.25</v>
      </c>
      <c r="C177" s="618" t="str">
        <f t="shared" si="11"/>
        <v>/</v>
      </c>
      <c r="D177" s="617">
        <f t="shared" si="9"/>
        <v>29160.25</v>
      </c>
      <c r="E177" s="638">
        <f>E175+1</f>
        <v>87</v>
      </c>
      <c r="F177" s="618">
        <f>28500.5-955.5+7*E177</f>
        <v>28154</v>
      </c>
      <c r="G177" s="620" t="s">
        <v>106</v>
      </c>
      <c r="H177" s="621">
        <f>28500.5+52.5+7*E177</f>
        <v>29162</v>
      </c>
      <c r="I177" s="619"/>
      <c r="J177" s="618"/>
      <c r="K177" s="618"/>
      <c r="L177" s="622"/>
      <c r="M177" s="619"/>
      <c r="N177" s="618"/>
      <c r="O177" s="618"/>
      <c r="P177" s="622"/>
      <c r="Q177" s="619"/>
      <c r="R177" s="623"/>
      <c r="S177" s="624"/>
      <c r="T177" s="622"/>
      <c r="U177" s="619"/>
      <c r="V177" s="624"/>
      <c r="W177" s="624"/>
      <c r="X177" s="622"/>
      <c r="Y177" s="636"/>
    </row>
    <row r="178" spans="1:25" x14ac:dyDescent="0.25">
      <c r="A178" s="606">
        <f t="shared" si="10"/>
        <v>174</v>
      </c>
      <c r="B178" s="617">
        <f t="shared" si="8"/>
        <v>28155.75</v>
      </c>
      <c r="C178" s="618" t="str">
        <f t="shared" si="11"/>
        <v>/</v>
      </c>
      <c r="D178" s="617">
        <f t="shared" si="9"/>
        <v>29163.75</v>
      </c>
      <c r="E178" s="638"/>
      <c r="F178" s="618"/>
      <c r="G178" s="620"/>
      <c r="H178" s="622"/>
      <c r="I178" s="619">
        <f>I174+1</f>
        <v>44</v>
      </c>
      <c r="J178" s="618">
        <f>28500.5-959+14*I178</f>
        <v>28157.5</v>
      </c>
      <c r="K178" s="620" t="s">
        <v>106</v>
      </c>
      <c r="L178" s="621">
        <f>28500.5+49+14*I178</f>
        <v>29165.5</v>
      </c>
      <c r="M178" s="619"/>
      <c r="N178" s="618"/>
      <c r="O178" s="618"/>
      <c r="P178" s="622"/>
      <c r="Q178" s="619"/>
      <c r="R178" s="623"/>
      <c r="S178" s="624"/>
      <c r="T178" s="622"/>
      <c r="U178" s="619"/>
      <c r="V178" s="624"/>
      <c r="W178" s="624"/>
      <c r="X178" s="622"/>
      <c r="Y178" s="636"/>
    </row>
    <row r="179" spans="1:25" x14ac:dyDescent="0.25">
      <c r="A179" s="606">
        <f t="shared" si="10"/>
        <v>175</v>
      </c>
      <c r="B179" s="617">
        <f t="shared" si="8"/>
        <v>28159.25</v>
      </c>
      <c r="C179" s="618" t="str">
        <f t="shared" si="11"/>
        <v>/</v>
      </c>
      <c r="D179" s="617">
        <f t="shared" si="9"/>
        <v>29167.25</v>
      </c>
      <c r="E179" s="638">
        <f>E177+1</f>
        <v>88</v>
      </c>
      <c r="F179" s="618">
        <f>28500.5-955.5+7*E179</f>
        <v>28161</v>
      </c>
      <c r="G179" s="620" t="s">
        <v>106</v>
      </c>
      <c r="H179" s="621">
        <f>28500.5+52.5+7*E179</f>
        <v>29169</v>
      </c>
      <c r="I179" s="619"/>
      <c r="J179" s="618"/>
      <c r="K179" s="618"/>
      <c r="L179" s="621"/>
      <c r="M179" s="619"/>
      <c r="N179" s="618"/>
      <c r="O179" s="618"/>
      <c r="P179" s="622"/>
      <c r="Q179" s="619"/>
      <c r="R179" s="623"/>
      <c r="S179" s="624"/>
      <c r="T179" s="622"/>
      <c r="U179" s="619"/>
      <c r="V179" s="624"/>
      <c r="W179" s="624"/>
      <c r="X179" s="622"/>
      <c r="Y179" s="636"/>
    </row>
    <row r="180" spans="1:25" x14ac:dyDescent="0.25">
      <c r="A180" s="189">
        <f t="shared" si="10"/>
        <v>176</v>
      </c>
      <c r="B180" s="256">
        <f t="shared" si="8"/>
        <v>28162.75</v>
      </c>
      <c r="C180" s="259" t="str">
        <f t="shared" si="11"/>
        <v>/</v>
      </c>
      <c r="D180" s="256">
        <f t="shared" si="9"/>
        <v>29170.75</v>
      </c>
      <c r="E180" s="269"/>
      <c r="F180" s="259"/>
      <c r="G180" s="260"/>
      <c r="H180" s="261"/>
      <c r="I180" s="258"/>
      <c r="J180" s="259"/>
      <c r="K180" s="259"/>
      <c r="L180" s="261"/>
      <c r="M180" s="258"/>
      <c r="N180" s="259"/>
      <c r="O180" s="259"/>
      <c r="P180" s="261"/>
      <c r="Q180" s="258"/>
      <c r="R180" s="262"/>
      <c r="S180" s="263"/>
      <c r="T180" s="261"/>
      <c r="U180" s="619">
        <f>U148+1</f>
        <v>6</v>
      </c>
      <c r="V180" s="618">
        <f>28500.5-1008+112*U180</f>
        <v>28164.5</v>
      </c>
      <c r="W180" s="620" t="s">
        <v>106</v>
      </c>
      <c r="X180" s="621">
        <f>28500.5+112*U180</f>
        <v>29172.5</v>
      </c>
      <c r="Y180" s="795" t="s">
        <v>209</v>
      </c>
    </row>
    <row r="181" spans="1:25" x14ac:dyDescent="0.25">
      <c r="A181" s="606">
        <f t="shared" si="10"/>
        <v>177</v>
      </c>
      <c r="B181" s="617">
        <f t="shared" si="8"/>
        <v>28166.25</v>
      </c>
      <c r="C181" s="618" t="str">
        <f t="shared" si="11"/>
        <v>/</v>
      </c>
      <c r="D181" s="617">
        <f t="shared" si="9"/>
        <v>29174.25</v>
      </c>
      <c r="E181" s="638">
        <f>E179+1</f>
        <v>89</v>
      </c>
      <c r="F181" s="618">
        <f>28500.5-955.5+7*E181</f>
        <v>28168</v>
      </c>
      <c r="G181" s="620" t="s">
        <v>106</v>
      </c>
      <c r="H181" s="621">
        <f>28500.5+52.5+7*E181</f>
        <v>29176</v>
      </c>
      <c r="I181" s="619"/>
      <c r="J181" s="618"/>
      <c r="K181" s="618"/>
      <c r="L181" s="622"/>
      <c r="M181" s="619"/>
      <c r="N181" s="618"/>
      <c r="O181" s="618"/>
      <c r="P181" s="622"/>
      <c r="Q181" s="619"/>
      <c r="R181" s="623"/>
      <c r="S181" s="624"/>
      <c r="T181" s="622"/>
      <c r="U181" s="619"/>
      <c r="V181" s="624"/>
      <c r="W181" s="624"/>
      <c r="X181" s="622"/>
      <c r="Y181" s="636"/>
    </row>
    <row r="182" spans="1:25" x14ac:dyDescent="0.25">
      <c r="A182" s="606">
        <f t="shared" si="10"/>
        <v>178</v>
      </c>
      <c r="B182" s="617">
        <f t="shared" si="8"/>
        <v>28169.75</v>
      </c>
      <c r="C182" s="618" t="str">
        <f t="shared" si="11"/>
        <v>/</v>
      </c>
      <c r="D182" s="617">
        <f t="shared" si="9"/>
        <v>29177.75</v>
      </c>
      <c r="E182" s="638"/>
      <c r="F182" s="618"/>
      <c r="G182" s="620"/>
      <c r="H182" s="622"/>
      <c r="I182" s="619">
        <f>I178+1</f>
        <v>45</v>
      </c>
      <c r="J182" s="618">
        <f>28500.5-959+14*I182</f>
        <v>28171.5</v>
      </c>
      <c r="K182" s="620" t="s">
        <v>106</v>
      </c>
      <c r="L182" s="621">
        <f>28500.5+49+14*I182</f>
        <v>29179.5</v>
      </c>
      <c r="M182" s="619"/>
      <c r="N182" s="618"/>
      <c r="O182" s="618"/>
      <c r="P182" s="622"/>
      <c r="Q182" s="619"/>
      <c r="R182" s="623"/>
      <c r="S182" s="624"/>
      <c r="T182" s="622"/>
      <c r="U182" s="619"/>
      <c r="V182" s="624"/>
      <c r="W182" s="624"/>
      <c r="X182" s="622"/>
      <c r="Y182" s="636"/>
    </row>
    <row r="183" spans="1:25" x14ac:dyDescent="0.25">
      <c r="A183" s="606">
        <f t="shared" si="10"/>
        <v>179</v>
      </c>
      <c r="B183" s="617">
        <f t="shared" si="8"/>
        <v>28173.25</v>
      </c>
      <c r="C183" s="618" t="str">
        <f t="shared" si="11"/>
        <v>/</v>
      </c>
      <c r="D183" s="617">
        <f t="shared" si="9"/>
        <v>29181.25</v>
      </c>
      <c r="E183" s="638">
        <f>E181+1</f>
        <v>90</v>
      </c>
      <c r="F183" s="618">
        <f>28500.5-955.5+7*E183</f>
        <v>28175</v>
      </c>
      <c r="G183" s="620" t="s">
        <v>106</v>
      </c>
      <c r="H183" s="621">
        <f>28500.5+52.5+7*E183</f>
        <v>29183</v>
      </c>
      <c r="I183" s="619"/>
      <c r="J183" s="618"/>
      <c r="K183" s="618"/>
      <c r="L183" s="621"/>
      <c r="M183" s="619"/>
      <c r="N183" s="618"/>
      <c r="O183" s="618"/>
      <c r="P183" s="622"/>
      <c r="Q183" s="619"/>
      <c r="R183" s="623"/>
      <c r="S183" s="624"/>
      <c r="T183" s="622"/>
      <c r="U183" s="619"/>
      <c r="V183" s="624"/>
      <c r="W183" s="624"/>
      <c r="X183" s="622"/>
      <c r="Y183" s="636"/>
    </row>
    <row r="184" spans="1:25" x14ac:dyDescent="0.25">
      <c r="A184" s="606">
        <f t="shared" si="10"/>
        <v>180</v>
      </c>
      <c r="B184" s="617">
        <f t="shared" si="8"/>
        <v>28176.75</v>
      </c>
      <c r="C184" s="618" t="str">
        <f t="shared" si="11"/>
        <v>/</v>
      </c>
      <c r="D184" s="617">
        <f t="shared" si="9"/>
        <v>29184.75</v>
      </c>
      <c r="E184" s="638"/>
      <c r="F184" s="618"/>
      <c r="G184" s="620"/>
      <c r="H184" s="622"/>
      <c r="I184" s="619"/>
      <c r="J184" s="618"/>
      <c r="K184" s="618"/>
      <c r="L184" s="622"/>
      <c r="M184" s="619">
        <f>M176+1</f>
        <v>23</v>
      </c>
      <c r="N184" s="618">
        <f>28500.5-966+28*M184</f>
        <v>28178.5</v>
      </c>
      <c r="O184" s="620" t="s">
        <v>106</v>
      </c>
      <c r="P184" s="621">
        <f>28500.5+42+28*M184</f>
        <v>29186.5</v>
      </c>
      <c r="Q184" s="619"/>
      <c r="R184" s="627"/>
      <c r="S184" s="620"/>
      <c r="T184" s="621"/>
      <c r="U184" s="619"/>
      <c r="V184" s="624"/>
      <c r="W184" s="624"/>
      <c r="X184" s="622"/>
      <c r="Y184" s="636"/>
    </row>
    <row r="185" spans="1:25" x14ac:dyDescent="0.25">
      <c r="A185" s="606">
        <f t="shared" si="10"/>
        <v>181</v>
      </c>
      <c r="B185" s="617">
        <f t="shared" si="8"/>
        <v>28180.25</v>
      </c>
      <c r="C185" s="618" t="str">
        <f t="shared" si="11"/>
        <v>/</v>
      </c>
      <c r="D185" s="617">
        <f t="shared" si="9"/>
        <v>29188.25</v>
      </c>
      <c r="E185" s="638">
        <f>E183+1</f>
        <v>91</v>
      </c>
      <c r="F185" s="618">
        <f>28500.5-955.5+7*E185</f>
        <v>28182</v>
      </c>
      <c r="G185" s="620" t="s">
        <v>106</v>
      </c>
      <c r="H185" s="621">
        <f>28500.5+52.5+7*E185</f>
        <v>29190</v>
      </c>
      <c r="I185" s="619"/>
      <c r="J185" s="618"/>
      <c r="K185" s="618"/>
      <c r="L185" s="622"/>
      <c r="M185" s="619"/>
      <c r="N185" s="618"/>
      <c r="O185" s="618"/>
      <c r="P185" s="622"/>
      <c r="Q185" s="619"/>
      <c r="R185" s="623"/>
      <c r="S185" s="624"/>
      <c r="T185" s="622"/>
      <c r="U185" s="619"/>
      <c r="V185" s="624"/>
      <c r="W185" s="624"/>
      <c r="X185" s="622"/>
      <c r="Y185" s="636"/>
    </row>
    <row r="186" spans="1:25" x14ac:dyDescent="0.25">
      <c r="A186" s="606">
        <f t="shared" si="10"/>
        <v>182</v>
      </c>
      <c r="B186" s="617">
        <f t="shared" si="8"/>
        <v>28183.75</v>
      </c>
      <c r="C186" s="618" t="str">
        <f t="shared" si="11"/>
        <v>/</v>
      </c>
      <c r="D186" s="617">
        <f t="shared" si="9"/>
        <v>29191.75</v>
      </c>
      <c r="E186" s="638"/>
      <c r="F186" s="618"/>
      <c r="G186" s="620"/>
      <c r="H186" s="622"/>
      <c r="I186" s="619">
        <f>I182+1</f>
        <v>46</v>
      </c>
      <c r="J186" s="618">
        <f>28500.5-959+14*I186</f>
        <v>28185.5</v>
      </c>
      <c r="K186" s="620" t="s">
        <v>106</v>
      </c>
      <c r="L186" s="621">
        <f>28500.5+49+14*I186</f>
        <v>29193.5</v>
      </c>
      <c r="M186" s="619"/>
      <c r="N186" s="618"/>
      <c r="O186" s="618"/>
      <c r="P186" s="622"/>
      <c r="Q186" s="619"/>
      <c r="R186" s="623"/>
      <c r="S186" s="624"/>
      <c r="T186" s="622"/>
      <c r="U186" s="619"/>
      <c r="V186" s="624"/>
      <c r="W186" s="624"/>
      <c r="X186" s="622"/>
      <c r="Y186" s="633" t="s">
        <v>156</v>
      </c>
    </row>
    <row r="187" spans="1:25" x14ac:dyDescent="0.25">
      <c r="A187" s="606">
        <f t="shared" si="10"/>
        <v>183</v>
      </c>
      <c r="B187" s="617">
        <f t="shared" si="8"/>
        <v>28187.25</v>
      </c>
      <c r="C187" s="618" t="str">
        <f t="shared" si="11"/>
        <v>/</v>
      </c>
      <c r="D187" s="617">
        <f t="shared" si="9"/>
        <v>29195.25</v>
      </c>
      <c r="E187" s="638">
        <f>E185+1</f>
        <v>92</v>
      </c>
      <c r="F187" s="618">
        <f>28500.5-955.5+7*E187</f>
        <v>28189</v>
      </c>
      <c r="G187" s="620" t="s">
        <v>106</v>
      </c>
      <c r="H187" s="621">
        <f>28500.5+52.5+7*E187</f>
        <v>29197</v>
      </c>
      <c r="I187" s="619"/>
      <c r="J187" s="618"/>
      <c r="K187" s="618"/>
      <c r="L187" s="621"/>
      <c r="M187" s="619"/>
      <c r="N187" s="618"/>
      <c r="O187" s="618"/>
      <c r="P187" s="622"/>
      <c r="Q187" s="619"/>
      <c r="R187" s="623"/>
      <c r="S187" s="624"/>
      <c r="T187" s="622"/>
      <c r="U187" s="619"/>
      <c r="V187" s="624"/>
      <c r="W187" s="624"/>
      <c r="X187" s="622"/>
      <c r="Y187" s="634"/>
    </row>
    <row r="188" spans="1:25" x14ac:dyDescent="0.25">
      <c r="A188" s="606">
        <f t="shared" si="10"/>
        <v>184</v>
      </c>
      <c r="B188" s="617">
        <f t="shared" si="8"/>
        <v>28190.75</v>
      </c>
      <c r="C188" s="618" t="str">
        <f t="shared" si="11"/>
        <v>/</v>
      </c>
      <c r="D188" s="617">
        <f t="shared" si="9"/>
        <v>29198.75</v>
      </c>
      <c r="E188" s="638"/>
      <c r="F188" s="618"/>
      <c r="G188" s="620"/>
      <c r="H188" s="622"/>
      <c r="I188" s="619"/>
      <c r="J188" s="618"/>
      <c r="K188" s="618"/>
      <c r="L188" s="622"/>
      <c r="M188" s="619"/>
      <c r="N188" s="618"/>
      <c r="O188" s="618"/>
      <c r="P188" s="622"/>
      <c r="Q188" s="619">
        <f>Q172+1</f>
        <v>12</v>
      </c>
      <c r="R188" s="627">
        <f>28500.5-980+56*Q188</f>
        <v>28192.5</v>
      </c>
      <c r="S188" s="620" t="s">
        <v>106</v>
      </c>
      <c r="T188" s="621">
        <f>28500.5+28+56*Q188</f>
        <v>29200.5</v>
      </c>
      <c r="U188" s="619"/>
      <c r="V188" s="624"/>
      <c r="W188" s="624"/>
      <c r="X188" s="622"/>
      <c r="Y188" s="634"/>
    </row>
    <row r="189" spans="1:25" x14ac:dyDescent="0.25">
      <c r="A189" s="606">
        <f t="shared" si="10"/>
        <v>185</v>
      </c>
      <c r="B189" s="617">
        <f t="shared" si="8"/>
        <v>28194.25</v>
      </c>
      <c r="C189" s="618" t="str">
        <f t="shared" si="11"/>
        <v>/</v>
      </c>
      <c r="D189" s="617">
        <f t="shared" si="9"/>
        <v>29202.25</v>
      </c>
      <c r="E189" s="638">
        <f>E187+1</f>
        <v>93</v>
      </c>
      <c r="F189" s="618">
        <f>28500.5-955.5+7*E189</f>
        <v>28196</v>
      </c>
      <c r="G189" s="620" t="s">
        <v>106</v>
      </c>
      <c r="H189" s="621">
        <f>28500.5+52.5+7*E189</f>
        <v>29204</v>
      </c>
      <c r="I189" s="619"/>
      <c r="J189" s="618"/>
      <c r="K189" s="618"/>
      <c r="L189" s="622"/>
      <c r="M189" s="619"/>
      <c r="N189" s="618"/>
      <c r="O189" s="618"/>
      <c r="P189" s="622"/>
      <c r="Q189" s="619"/>
      <c r="R189" s="623"/>
      <c r="S189" s="624"/>
      <c r="T189" s="622"/>
      <c r="U189" s="619"/>
      <c r="V189" s="624"/>
      <c r="W189" s="624"/>
      <c r="X189" s="622"/>
      <c r="Y189" s="635"/>
    </row>
    <row r="190" spans="1:25" x14ac:dyDescent="0.25">
      <c r="A190" s="606">
        <f t="shared" si="10"/>
        <v>186</v>
      </c>
      <c r="B190" s="617">
        <f t="shared" si="8"/>
        <v>28197.75</v>
      </c>
      <c r="C190" s="618" t="str">
        <f t="shared" si="11"/>
        <v>/</v>
      </c>
      <c r="D190" s="617">
        <f t="shared" si="9"/>
        <v>29205.75</v>
      </c>
      <c r="E190" s="638"/>
      <c r="F190" s="618"/>
      <c r="G190" s="620"/>
      <c r="H190" s="622"/>
      <c r="I190" s="619">
        <f>I186+1</f>
        <v>47</v>
      </c>
      <c r="J190" s="618">
        <f>28500.5-959+14*I190</f>
        <v>28199.5</v>
      </c>
      <c r="K190" s="620" t="s">
        <v>106</v>
      </c>
      <c r="L190" s="621">
        <f>28500.5+49+14*I190</f>
        <v>29207.5</v>
      </c>
      <c r="M190" s="619"/>
      <c r="N190" s="618"/>
      <c r="O190" s="618"/>
      <c r="P190" s="622"/>
      <c r="Q190" s="619"/>
      <c r="R190" s="623"/>
      <c r="S190" s="624"/>
      <c r="T190" s="622"/>
      <c r="U190" s="619"/>
      <c r="V190" s="624"/>
      <c r="W190" s="624"/>
      <c r="X190" s="622"/>
      <c r="Y190" s="636"/>
    </row>
    <row r="191" spans="1:25" x14ac:dyDescent="0.25">
      <c r="A191" s="606">
        <f t="shared" si="10"/>
        <v>187</v>
      </c>
      <c r="B191" s="617">
        <f t="shared" si="8"/>
        <v>28201.25</v>
      </c>
      <c r="C191" s="618" t="str">
        <f t="shared" si="11"/>
        <v>/</v>
      </c>
      <c r="D191" s="617">
        <f t="shared" si="9"/>
        <v>29209.25</v>
      </c>
      <c r="E191" s="638">
        <f>E189+1</f>
        <v>94</v>
      </c>
      <c r="F191" s="618">
        <f>28500.5-955.5+7*E191</f>
        <v>28203</v>
      </c>
      <c r="G191" s="620" t="s">
        <v>106</v>
      </c>
      <c r="H191" s="621">
        <f>28500.5+52.5+7*E191</f>
        <v>29211</v>
      </c>
      <c r="I191" s="619"/>
      <c r="J191" s="618"/>
      <c r="K191" s="618"/>
      <c r="L191" s="621"/>
      <c r="M191" s="619"/>
      <c r="N191" s="618"/>
      <c r="O191" s="618"/>
      <c r="P191" s="622"/>
      <c r="Q191" s="619"/>
      <c r="R191" s="623"/>
      <c r="S191" s="624"/>
      <c r="T191" s="622"/>
      <c r="U191" s="619"/>
      <c r="V191" s="624"/>
      <c r="W191" s="624"/>
      <c r="X191" s="622"/>
      <c r="Y191" s="636"/>
    </row>
    <row r="192" spans="1:25" x14ac:dyDescent="0.25">
      <c r="A192" s="606">
        <f t="shared" si="10"/>
        <v>188</v>
      </c>
      <c r="B192" s="617">
        <f t="shared" si="8"/>
        <v>28204.75</v>
      </c>
      <c r="C192" s="618" t="str">
        <f t="shared" si="11"/>
        <v>/</v>
      </c>
      <c r="D192" s="617">
        <f t="shared" si="9"/>
        <v>29212.75</v>
      </c>
      <c r="E192" s="638"/>
      <c r="F192" s="618"/>
      <c r="G192" s="620"/>
      <c r="H192" s="622"/>
      <c r="I192" s="619"/>
      <c r="J192" s="618"/>
      <c r="K192" s="618"/>
      <c r="L192" s="622"/>
      <c r="M192" s="619">
        <f>M184+1</f>
        <v>24</v>
      </c>
      <c r="N192" s="618">
        <f>28500.5-966+28*M192</f>
        <v>28206.5</v>
      </c>
      <c r="O192" s="620" t="s">
        <v>106</v>
      </c>
      <c r="P192" s="621">
        <f>28500.5+42+28*M192</f>
        <v>29214.5</v>
      </c>
      <c r="Q192" s="619"/>
      <c r="R192" s="623"/>
      <c r="S192" s="624"/>
      <c r="T192" s="622"/>
      <c r="U192" s="619"/>
      <c r="V192" s="624"/>
      <c r="W192" s="624"/>
      <c r="X192" s="622"/>
      <c r="Y192" s="636"/>
    </row>
    <row r="193" spans="1:25" x14ac:dyDescent="0.25">
      <c r="A193" s="606">
        <f t="shared" si="10"/>
        <v>189</v>
      </c>
      <c r="B193" s="617">
        <f t="shared" si="8"/>
        <v>28208.25</v>
      </c>
      <c r="C193" s="618" t="str">
        <f t="shared" si="11"/>
        <v>/</v>
      </c>
      <c r="D193" s="617">
        <f t="shared" si="9"/>
        <v>29216.25</v>
      </c>
      <c r="E193" s="638">
        <f>E191+1</f>
        <v>95</v>
      </c>
      <c r="F193" s="618">
        <f>28500.5-955.5+7*E193</f>
        <v>28210</v>
      </c>
      <c r="G193" s="620" t="s">
        <v>106</v>
      </c>
      <c r="H193" s="621">
        <f>28500.5+52.5+7*E193</f>
        <v>29218</v>
      </c>
      <c r="I193" s="619"/>
      <c r="J193" s="618"/>
      <c r="K193" s="618"/>
      <c r="L193" s="622"/>
      <c r="M193" s="619"/>
      <c r="N193" s="618"/>
      <c r="O193" s="618"/>
      <c r="P193" s="622"/>
      <c r="Q193" s="619"/>
      <c r="R193" s="623"/>
      <c r="S193" s="624"/>
      <c r="T193" s="622"/>
      <c r="U193" s="619"/>
      <c r="V193" s="624"/>
      <c r="W193" s="624"/>
      <c r="X193" s="622"/>
      <c r="Y193" s="636"/>
    </row>
    <row r="194" spans="1:25" x14ac:dyDescent="0.25">
      <c r="A194" s="606">
        <f t="shared" si="10"/>
        <v>190</v>
      </c>
      <c r="B194" s="617">
        <f t="shared" si="8"/>
        <v>28211.75</v>
      </c>
      <c r="C194" s="618" t="str">
        <f t="shared" si="11"/>
        <v>/</v>
      </c>
      <c r="D194" s="617">
        <f t="shared" si="9"/>
        <v>29219.75</v>
      </c>
      <c r="E194" s="638"/>
      <c r="F194" s="618"/>
      <c r="G194" s="620"/>
      <c r="H194" s="622"/>
      <c r="I194" s="619">
        <f>I190+1</f>
        <v>48</v>
      </c>
      <c r="J194" s="618">
        <f>28500.5-959+14*I194</f>
        <v>28213.5</v>
      </c>
      <c r="K194" s="620" t="s">
        <v>106</v>
      </c>
      <c r="L194" s="621">
        <f>28500.5+49+14*I194</f>
        <v>29221.5</v>
      </c>
      <c r="M194" s="619"/>
      <c r="N194" s="618"/>
      <c r="O194" s="618"/>
      <c r="P194" s="622"/>
      <c r="Q194" s="619"/>
      <c r="R194" s="623"/>
      <c r="S194" s="624"/>
      <c r="T194" s="622"/>
      <c r="U194" s="619"/>
      <c r="V194" s="624"/>
      <c r="W194" s="624"/>
      <c r="X194" s="622"/>
      <c r="Y194" s="636"/>
    </row>
    <row r="195" spans="1:25" x14ac:dyDescent="0.25">
      <c r="A195" s="606">
        <f t="shared" si="10"/>
        <v>191</v>
      </c>
      <c r="B195" s="617">
        <f t="shared" si="8"/>
        <v>28215.25</v>
      </c>
      <c r="C195" s="618" t="str">
        <f t="shared" si="11"/>
        <v>/</v>
      </c>
      <c r="D195" s="617">
        <f t="shared" si="9"/>
        <v>29223.25</v>
      </c>
      <c r="E195" s="638">
        <f>E193+1</f>
        <v>96</v>
      </c>
      <c r="F195" s="618">
        <f>28500.5-955.5+7*E195</f>
        <v>28217</v>
      </c>
      <c r="G195" s="620" t="s">
        <v>106</v>
      </c>
      <c r="H195" s="621">
        <f>28500.5+52.5+7*E195</f>
        <v>29225</v>
      </c>
      <c r="I195" s="619"/>
      <c r="J195" s="618"/>
      <c r="K195" s="618"/>
      <c r="L195" s="621"/>
      <c r="M195" s="619"/>
      <c r="N195" s="618"/>
      <c r="O195" s="618"/>
      <c r="P195" s="622"/>
      <c r="Q195" s="619"/>
      <c r="R195" s="623"/>
      <c r="S195" s="624"/>
      <c r="T195" s="622"/>
      <c r="U195" s="619"/>
      <c r="V195" s="624"/>
      <c r="W195" s="624"/>
      <c r="X195" s="622"/>
      <c r="Y195" s="636"/>
    </row>
    <row r="196" spans="1:25" x14ac:dyDescent="0.25">
      <c r="A196" s="189">
        <f t="shared" si="10"/>
        <v>192</v>
      </c>
      <c r="B196" s="256">
        <f t="shared" si="8"/>
        <v>28218.75</v>
      </c>
      <c r="C196" s="259" t="str">
        <f t="shared" si="11"/>
        <v>/</v>
      </c>
      <c r="D196" s="256">
        <f t="shared" si="9"/>
        <v>29226.75</v>
      </c>
      <c r="E196" s="269"/>
      <c r="F196" s="259"/>
      <c r="G196" s="260"/>
      <c r="H196" s="261"/>
      <c r="I196" s="258"/>
      <c r="J196" s="259"/>
      <c r="K196" s="259"/>
      <c r="L196" s="261"/>
      <c r="M196" s="258"/>
      <c r="N196" s="259"/>
      <c r="O196" s="259"/>
      <c r="P196" s="261"/>
      <c r="Q196" s="258"/>
      <c r="R196" s="262"/>
      <c r="S196" s="263"/>
      <c r="T196" s="261"/>
      <c r="U196" s="780"/>
      <c r="V196" s="781"/>
      <c r="W196" s="779"/>
      <c r="X196" s="782"/>
      <c r="Y196" s="261" t="s">
        <v>209</v>
      </c>
    </row>
    <row r="197" spans="1:25" x14ac:dyDescent="0.25">
      <c r="A197" s="189">
        <f t="shared" si="10"/>
        <v>193</v>
      </c>
      <c r="B197" s="112">
        <f t="shared" ref="B197:B260" si="12">28500.5-953.75+3.5*A197</f>
        <v>28222.25</v>
      </c>
      <c r="C197" s="58" t="str">
        <f t="shared" si="11"/>
        <v>/</v>
      </c>
      <c r="D197" s="112">
        <f t="shared" ref="D197:D260" si="13">28500.5+54.25+3.5*A197</f>
        <v>29230.25</v>
      </c>
      <c r="E197" s="270">
        <f>E195+1</f>
        <v>97</v>
      </c>
      <c r="F197" s="58">
        <f>28500.5-955.5+7*E197</f>
        <v>28224</v>
      </c>
      <c r="G197" s="55" t="s">
        <v>106</v>
      </c>
      <c r="H197" s="246">
        <f>28500.5+52.5+7*E197</f>
        <v>29232</v>
      </c>
      <c r="I197" s="245"/>
      <c r="J197" s="58"/>
      <c r="K197" s="58"/>
      <c r="L197" s="247"/>
      <c r="M197" s="245"/>
      <c r="N197" s="58"/>
      <c r="O197" s="58"/>
      <c r="P197" s="247"/>
      <c r="Q197" s="245"/>
      <c r="R197" s="248"/>
      <c r="S197" s="249"/>
      <c r="T197" s="247"/>
      <c r="U197" s="245"/>
      <c r="V197" s="249"/>
      <c r="W197" s="249"/>
      <c r="X197" s="247"/>
      <c r="Y197" s="359"/>
    </row>
    <row r="198" spans="1:25" x14ac:dyDescent="0.25">
      <c r="A198" s="189">
        <f t="shared" ref="A198:A260" si="14">A197+1</f>
        <v>194</v>
      </c>
      <c r="B198" s="112">
        <f t="shared" si="12"/>
        <v>28225.75</v>
      </c>
      <c r="C198" s="58" t="str">
        <f t="shared" ref="C198:C260" si="15">C197</f>
        <v>/</v>
      </c>
      <c r="D198" s="112">
        <f t="shared" si="13"/>
        <v>29233.75</v>
      </c>
      <c r="E198" s="270"/>
      <c r="F198" s="58"/>
      <c r="G198" s="55"/>
      <c r="H198" s="247"/>
      <c r="I198" s="245">
        <f>I194+1</f>
        <v>49</v>
      </c>
      <c r="J198" s="58">
        <f>28500.5-959+14*I198</f>
        <v>28227.5</v>
      </c>
      <c r="K198" s="55" t="s">
        <v>106</v>
      </c>
      <c r="L198" s="246">
        <f>28500.5+49+14*I198</f>
        <v>29235.5</v>
      </c>
      <c r="M198" s="245"/>
      <c r="N198" s="58"/>
      <c r="O198" s="58"/>
      <c r="P198" s="247"/>
      <c r="Q198" s="245"/>
      <c r="R198" s="248"/>
      <c r="S198" s="249"/>
      <c r="T198" s="247"/>
      <c r="U198" s="245"/>
      <c r="V198" s="249"/>
      <c r="W198" s="249"/>
      <c r="X198" s="247"/>
      <c r="Y198" s="359" t="s">
        <v>210</v>
      </c>
    </row>
    <row r="199" spans="1:25" x14ac:dyDescent="0.25">
      <c r="A199" s="189">
        <f t="shared" si="14"/>
        <v>195</v>
      </c>
      <c r="B199" s="112">
        <f t="shared" si="12"/>
        <v>28229.25</v>
      </c>
      <c r="C199" s="58" t="str">
        <f t="shared" si="15"/>
        <v>/</v>
      </c>
      <c r="D199" s="112">
        <f t="shared" si="13"/>
        <v>29237.25</v>
      </c>
      <c r="E199" s="270">
        <f>E197+1</f>
        <v>98</v>
      </c>
      <c r="F199" s="58">
        <f>28500.5-955.5+7*E199</f>
        <v>28231</v>
      </c>
      <c r="G199" s="55" t="s">
        <v>106</v>
      </c>
      <c r="H199" s="246">
        <f>28500.5+52.5+7*E199</f>
        <v>29239</v>
      </c>
      <c r="I199" s="245"/>
      <c r="J199" s="58"/>
      <c r="K199" s="58"/>
      <c r="L199" s="246"/>
      <c r="M199" s="245"/>
      <c r="N199" s="58"/>
      <c r="O199" s="58"/>
      <c r="P199" s="247"/>
      <c r="Q199" s="245"/>
      <c r="R199" s="248"/>
      <c r="S199" s="249"/>
      <c r="T199" s="247"/>
      <c r="U199" s="245"/>
      <c r="V199" s="249"/>
      <c r="W199" s="249"/>
      <c r="X199" s="247"/>
      <c r="Y199" s="359" t="s">
        <v>211</v>
      </c>
    </row>
    <row r="200" spans="1:25" x14ac:dyDescent="0.25">
      <c r="A200" s="189">
        <f t="shared" si="14"/>
        <v>196</v>
      </c>
      <c r="B200" s="112">
        <f t="shared" si="12"/>
        <v>28232.75</v>
      </c>
      <c r="C200" s="58" t="str">
        <f t="shared" si="15"/>
        <v>/</v>
      </c>
      <c r="D200" s="112">
        <f t="shared" si="13"/>
        <v>29240.75</v>
      </c>
      <c r="E200" s="270"/>
      <c r="F200" s="58"/>
      <c r="G200" s="55"/>
      <c r="H200" s="247"/>
      <c r="I200" s="245"/>
      <c r="J200" s="58"/>
      <c r="K200" s="58"/>
      <c r="L200" s="247"/>
      <c r="M200" s="245">
        <f>M192+1</f>
        <v>25</v>
      </c>
      <c r="N200" s="58">
        <f>28500.5-966+28*M200</f>
        <v>28234.5</v>
      </c>
      <c r="O200" s="55" t="s">
        <v>106</v>
      </c>
      <c r="P200" s="246">
        <f>28500.5+42+28*M200</f>
        <v>29242.5</v>
      </c>
      <c r="Q200" s="245"/>
      <c r="R200" s="252"/>
      <c r="S200" s="55"/>
      <c r="T200" s="246"/>
      <c r="U200" s="245"/>
      <c r="V200" s="249"/>
      <c r="W200" s="249"/>
      <c r="X200" s="247"/>
      <c r="Y200" s="359" t="s">
        <v>212</v>
      </c>
    </row>
    <row r="201" spans="1:25" x14ac:dyDescent="0.25">
      <c r="A201" s="189">
        <f t="shared" si="14"/>
        <v>197</v>
      </c>
      <c r="B201" s="112">
        <f t="shared" si="12"/>
        <v>28236.25</v>
      </c>
      <c r="C201" s="58" t="str">
        <f t="shared" si="15"/>
        <v>/</v>
      </c>
      <c r="D201" s="112">
        <f t="shared" si="13"/>
        <v>29244.25</v>
      </c>
      <c r="E201" s="270">
        <f>E199+1</f>
        <v>99</v>
      </c>
      <c r="F201" s="58">
        <f>28500.5-955.5+7*E201</f>
        <v>28238</v>
      </c>
      <c r="G201" s="55" t="s">
        <v>106</v>
      </c>
      <c r="H201" s="246">
        <f>28500.5+52.5+7*E201</f>
        <v>29246</v>
      </c>
      <c r="I201" s="245"/>
      <c r="J201" s="58"/>
      <c r="K201" s="58"/>
      <c r="L201" s="247"/>
      <c r="M201" s="245"/>
      <c r="N201" s="58"/>
      <c r="O201" s="58"/>
      <c r="P201" s="247"/>
      <c r="Q201" s="245"/>
      <c r="R201" s="248"/>
      <c r="S201" s="249"/>
      <c r="T201" s="247"/>
      <c r="U201" s="245"/>
      <c r="V201" s="249"/>
      <c r="W201" s="249"/>
      <c r="X201" s="247"/>
      <c r="Y201" s="359" t="s">
        <v>199</v>
      </c>
    </row>
    <row r="202" spans="1:25" x14ac:dyDescent="0.25">
      <c r="A202" s="189">
        <f t="shared" si="14"/>
        <v>198</v>
      </c>
      <c r="B202" s="112">
        <f t="shared" si="12"/>
        <v>28239.75</v>
      </c>
      <c r="C202" s="58" t="str">
        <f t="shared" si="15"/>
        <v>/</v>
      </c>
      <c r="D202" s="112">
        <f t="shared" si="13"/>
        <v>29247.75</v>
      </c>
      <c r="E202" s="270"/>
      <c r="F202" s="58"/>
      <c r="G202" s="55"/>
      <c r="H202" s="247"/>
      <c r="I202" s="245">
        <f>I198+1</f>
        <v>50</v>
      </c>
      <c r="J202" s="58">
        <f>28500.5-959+14*I202</f>
        <v>28241.5</v>
      </c>
      <c r="K202" s="55" t="s">
        <v>106</v>
      </c>
      <c r="L202" s="246">
        <f>28500.5+49+14*I202</f>
        <v>29249.5</v>
      </c>
      <c r="M202" s="245"/>
      <c r="N202" s="58"/>
      <c r="O202" s="58"/>
      <c r="P202" s="247"/>
      <c r="Q202" s="245"/>
      <c r="R202" s="248"/>
      <c r="S202" s="249"/>
      <c r="T202" s="247"/>
      <c r="U202" s="245"/>
      <c r="V202" s="249"/>
      <c r="W202" s="249"/>
      <c r="X202" s="247"/>
      <c r="Y202" s="359"/>
    </row>
    <row r="203" spans="1:25" x14ac:dyDescent="0.25">
      <c r="A203" s="189">
        <f t="shared" si="14"/>
        <v>199</v>
      </c>
      <c r="B203" s="112">
        <f t="shared" si="12"/>
        <v>28243.25</v>
      </c>
      <c r="C203" s="58" t="str">
        <f t="shared" si="15"/>
        <v>/</v>
      </c>
      <c r="D203" s="112">
        <f t="shared" si="13"/>
        <v>29251.25</v>
      </c>
      <c r="E203" s="270">
        <f>E201+1</f>
        <v>100</v>
      </c>
      <c r="F203" s="58">
        <f>28500.5-955.5+7*E203</f>
        <v>28245</v>
      </c>
      <c r="G203" s="55" t="s">
        <v>106</v>
      </c>
      <c r="H203" s="246">
        <f>28500.5+52.5+7*E203</f>
        <v>29253</v>
      </c>
      <c r="I203" s="245"/>
      <c r="J203" s="58"/>
      <c r="K203" s="58"/>
      <c r="L203" s="246"/>
      <c r="M203" s="245"/>
      <c r="N203" s="58"/>
      <c r="O203" s="58"/>
      <c r="P203" s="247"/>
      <c r="Q203" s="245"/>
      <c r="R203" s="248"/>
      <c r="S203" s="249"/>
      <c r="T203" s="247"/>
      <c r="U203" s="245"/>
      <c r="V203" s="249"/>
      <c r="W203" s="249"/>
      <c r="X203" s="247"/>
      <c r="Y203" s="202"/>
    </row>
    <row r="204" spans="1:25" x14ac:dyDescent="0.25">
      <c r="A204" s="189">
        <f t="shared" si="14"/>
        <v>200</v>
      </c>
      <c r="B204" s="112">
        <f t="shared" si="12"/>
        <v>28246.75</v>
      </c>
      <c r="C204" s="58" t="str">
        <f t="shared" si="15"/>
        <v>/</v>
      </c>
      <c r="D204" s="112">
        <f t="shared" si="13"/>
        <v>29254.75</v>
      </c>
      <c r="E204" s="270"/>
      <c r="F204" s="58"/>
      <c r="G204" s="55"/>
      <c r="H204" s="247"/>
      <c r="I204" s="245"/>
      <c r="J204" s="58"/>
      <c r="K204" s="58"/>
      <c r="L204" s="247"/>
      <c r="M204" s="245"/>
      <c r="N204" s="58"/>
      <c r="O204" s="58"/>
      <c r="P204" s="247"/>
      <c r="Q204" s="245">
        <f>Q188+1</f>
        <v>13</v>
      </c>
      <c r="R204" s="252">
        <f>28500.5-980+56*Q204</f>
        <v>28248.5</v>
      </c>
      <c r="S204" s="55" t="s">
        <v>106</v>
      </c>
      <c r="T204" s="246">
        <f>28500.5+28+56*Q204</f>
        <v>29256.5</v>
      </c>
      <c r="U204" s="245"/>
      <c r="V204" s="249"/>
      <c r="W204" s="249"/>
      <c r="X204" s="247"/>
      <c r="Y204" s="360" t="s">
        <v>213</v>
      </c>
    </row>
    <row r="205" spans="1:25" x14ac:dyDescent="0.25">
      <c r="A205" s="189">
        <f t="shared" si="14"/>
        <v>201</v>
      </c>
      <c r="B205" s="112">
        <f t="shared" si="12"/>
        <v>28250.25</v>
      </c>
      <c r="C205" s="58" t="str">
        <f t="shared" si="15"/>
        <v>/</v>
      </c>
      <c r="D205" s="112">
        <f t="shared" si="13"/>
        <v>29258.25</v>
      </c>
      <c r="E205" s="270">
        <f>E203+1</f>
        <v>101</v>
      </c>
      <c r="F205" s="58">
        <f>28500.5-955.5+7*E205</f>
        <v>28252</v>
      </c>
      <c r="G205" s="55" t="s">
        <v>106</v>
      </c>
      <c r="H205" s="246">
        <f>28500.5+52.5+7*E205</f>
        <v>29260</v>
      </c>
      <c r="I205" s="245"/>
      <c r="J205" s="58"/>
      <c r="K205" s="58"/>
      <c r="L205" s="247"/>
      <c r="M205" s="245"/>
      <c r="N205" s="58"/>
      <c r="O205" s="58"/>
      <c r="P205" s="247"/>
      <c r="Q205" s="245"/>
      <c r="R205" s="248"/>
      <c r="S205" s="249"/>
      <c r="T205" s="247"/>
      <c r="U205" s="245"/>
      <c r="V205" s="249"/>
      <c r="W205" s="249"/>
      <c r="X205" s="247"/>
      <c r="Y205" s="202"/>
    </row>
    <row r="206" spans="1:25" x14ac:dyDescent="0.25">
      <c r="A206" s="189">
        <f t="shared" si="14"/>
        <v>202</v>
      </c>
      <c r="B206" s="112">
        <f t="shared" si="12"/>
        <v>28253.75</v>
      </c>
      <c r="C206" s="58" t="str">
        <f t="shared" si="15"/>
        <v>/</v>
      </c>
      <c r="D206" s="112">
        <f t="shared" si="13"/>
        <v>29261.75</v>
      </c>
      <c r="E206" s="270"/>
      <c r="F206" s="58"/>
      <c r="G206" s="55"/>
      <c r="H206" s="247"/>
      <c r="I206" s="245">
        <f>I202+1</f>
        <v>51</v>
      </c>
      <c r="J206" s="58">
        <f>28500.5-959+14*I206</f>
        <v>28255.5</v>
      </c>
      <c r="K206" s="55" t="s">
        <v>106</v>
      </c>
      <c r="L206" s="246">
        <f>28500.5+49+14*I206</f>
        <v>29263.5</v>
      </c>
      <c r="M206" s="245"/>
      <c r="N206" s="58"/>
      <c r="O206" s="58"/>
      <c r="P206" s="247"/>
      <c r="Q206" s="245"/>
      <c r="R206" s="248"/>
      <c r="S206" s="249"/>
      <c r="T206" s="247"/>
      <c r="U206" s="245"/>
      <c r="V206" s="249"/>
      <c r="W206" s="249"/>
      <c r="X206" s="247"/>
      <c r="Y206" s="202"/>
    </row>
    <row r="207" spans="1:25" x14ac:dyDescent="0.25">
      <c r="A207" s="189">
        <f t="shared" si="14"/>
        <v>203</v>
      </c>
      <c r="B207" s="112">
        <f t="shared" si="12"/>
        <v>28257.25</v>
      </c>
      <c r="C207" s="58" t="str">
        <f t="shared" si="15"/>
        <v>/</v>
      </c>
      <c r="D207" s="112">
        <f t="shared" si="13"/>
        <v>29265.25</v>
      </c>
      <c r="E207" s="270">
        <f>E205+1</f>
        <v>102</v>
      </c>
      <c r="F207" s="58">
        <f>28500.5-955.5+7*E207</f>
        <v>28259</v>
      </c>
      <c r="G207" s="55" t="s">
        <v>106</v>
      </c>
      <c r="H207" s="246">
        <f>28500.5+52.5+7*E207</f>
        <v>29267</v>
      </c>
      <c r="I207" s="245"/>
      <c r="J207" s="58"/>
      <c r="K207" s="58"/>
      <c r="L207" s="246"/>
      <c r="M207" s="245"/>
      <c r="N207" s="58"/>
      <c r="O207" s="58"/>
      <c r="P207" s="247"/>
      <c r="Q207" s="245"/>
      <c r="R207" s="248"/>
      <c r="S207" s="249"/>
      <c r="T207" s="247"/>
      <c r="U207" s="245"/>
      <c r="V207" s="249"/>
      <c r="W207" s="249"/>
      <c r="X207" s="247"/>
      <c r="Y207" s="202"/>
    </row>
    <row r="208" spans="1:25" x14ac:dyDescent="0.25">
      <c r="A208" s="189">
        <f t="shared" si="14"/>
        <v>204</v>
      </c>
      <c r="B208" s="112">
        <f t="shared" si="12"/>
        <v>28260.75</v>
      </c>
      <c r="C208" s="58" t="str">
        <f t="shared" si="15"/>
        <v>/</v>
      </c>
      <c r="D208" s="112">
        <f t="shared" si="13"/>
        <v>29268.75</v>
      </c>
      <c r="E208" s="270"/>
      <c r="F208" s="58"/>
      <c r="G208" s="55"/>
      <c r="H208" s="247"/>
      <c r="I208" s="245"/>
      <c r="J208" s="58"/>
      <c r="K208" s="58"/>
      <c r="L208" s="247"/>
      <c r="M208" s="245">
        <f>M200+1</f>
        <v>26</v>
      </c>
      <c r="N208" s="58">
        <f>28500.5-966+28*M208</f>
        <v>28262.5</v>
      </c>
      <c r="O208" s="55" t="s">
        <v>106</v>
      </c>
      <c r="P208" s="246">
        <f>28500.5+42+28*M208</f>
        <v>29270.5</v>
      </c>
      <c r="Q208" s="245"/>
      <c r="R208" s="248"/>
      <c r="S208" s="249"/>
      <c r="T208" s="247"/>
      <c r="U208" s="245"/>
      <c r="V208" s="249"/>
      <c r="W208" s="249"/>
      <c r="X208" s="247"/>
      <c r="Y208" s="202"/>
    </row>
    <row r="209" spans="1:25" x14ac:dyDescent="0.25">
      <c r="A209" s="189">
        <f t="shared" si="14"/>
        <v>205</v>
      </c>
      <c r="B209" s="112">
        <f t="shared" si="12"/>
        <v>28264.25</v>
      </c>
      <c r="C209" s="58" t="str">
        <f t="shared" si="15"/>
        <v>/</v>
      </c>
      <c r="D209" s="112">
        <f t="shared" si="13"/>
        <v>29272.25</v>
      </c>
      <c r="E209" s="270">
        <f>E207+1</f>
        <v>103</v>
      </c>
      <c r="F209" s="58">
        <f>28500.5-955.5+7*E209</f>
        <v>28266</v>
      </c>
      <c r="G209" s="55" t="s">
        <v>106</v>
      </c>
      <c r="H209" s="246">
        <f>28500.5+52.5+7*E209</f>
        <v>29274</v>
      </c>
      <c r="I209" s="245"/>
      <c r="J209" s="58"/>
      <c r="K209" s="58"/>
      <c r="L209" s="247"/>
      <c r="M209" s="245"/>
      <c r="N209" s="58"/>
      <c r="O209" s="58"/>
      <c r="P209" s="247"/>
      <c r="Q209" s="245"/>
      <c r="R209" s="248"/>
      <c r="S209" s="249"/>
      <c r="T209" s="247"/>
      <c r="U209" s="245"/>
      <c r="V209" s="249"/>
      <c r="W209" s="249"/>
      <c r="X209" s="247"/>
      <c r="Y209" s="202"/>
    </row>
    <row r="210" spans="1:25" x14ac:dyDescent="0.25">
      <c r="A210" s="189">
        <f t="shared" si="14"/>
        <v>206</v>
      </c>
      <c r="B210" s="112">
        <f t="shared" si="12"/>
        <v>28267.75</v>
      </c>
      <c r="C210" s="58" t="str">
        <f t="shared" si="15"/>
        <v>/</v>
      </c>
      <c r="D210" s="112">
        <f t="shared" si="13"/>
        <v>29275.75</v>
      </c>
      <c r="E210" s="270"/>
      <c r="F210" s="58"/>
      <c r="G210" s="55"/>
      <c r="H210" s="247"/>
      <c r="I210" s="245">
        <f>I206+1</f>
        <v>52</v>
      </c>
      <c r="J210" s="58">
        <f>28500.5-959+14*I210</f>
        <v>28269.5</v>
      </c>
      <c r="K210" s="55" t="s">
        <v>106</v>
      </c>
      <c r="L210" s="246">
        <f>28500.5+49+14*I210</f>
        <v>29277.5</v>
      </c>
      <c r="M210" s="245"/>
      <c r="N210" s="58"/>
      <c r="O210" s="58"/>
      <c r="P210" s="247"/>
      <c r="Q210" s="245"/>
      <c r="R210" s="248"/>
      <c r="S210" s="249"/>
      <c r="T210" s="247"/>
      <c r="U210" s="245"/>
      <c r="V210" s="249"/>
      <c r="W210" s="249"/>
      <c r="X210" s="247"/>
      <c r="Y210" s="202"/>
    </row>
    <row r="211" spans="1:25" x14ac:dyDescent="0.25">
      <c r="A211" s="189">
        <f t="shared" si="14"/>
        <v>207</v>
      </c>
      <c r="B211" s="112">
        <f t="shared" si="12"/>
        <v>28271.25</v>
      </c>
      <c r="C211" s="58" t="str">
        <f t="shared" si="15"/>
        <v>/</v>
      </c>
      <c r="D211" s="112">
        <f t="shared" si="13"/>
        <v>29279.25</v>
      </c>
      <c r="E211" s="270">
        <f>E209+1</f>
        <v>104</v>
      </c>
      <c r="F211" s="58">
        <f>28500.5-955.5+7*E211</f>
        <v>28273</v>
      </c>
      <c r="G211" s="55" t="s">
        <v>106</v>
      </c>
      <c r="H211" s="246">
        <f>28500.5+52.5+7*E211</f>
        <v>29281</v>
      </c>
      <c r="I211" s="245"/>
      <c r="J211" s="58"/>
      <c r="K211" s="58"/>
      <c r="L211" s="246"/>
      <c r="M211" s="245"/>
      <c r="N211" s="58"/>
      <c r="O211" s="58"/>
      <c r="P211" s="247"/>
      <c r="Q211" s="245"/>
      <c r="R211" s="248"/>
      <c r="S211" s="249"/>
      <c r="T211" s="247"/>
      <c r="U211" s="245"/>
      <c r="V211" s="249"/>
      <c r="W211" s="249"/>
      <c r="X211" s="247"/>
      <c r="Y211" s="202"/>
    </row>
    <row r="212" spans="1:25" x14ac:dyDescent="0.25">
      <c r="A212" s="189">
        <f t="shared" si="14"/>
        <v>208</v>
      </c>
      <c r="B212" s="256">
        <f t="shared" si="12"/>
        <v>28274.75</v>
      </c>
      <c r="C212" s="259" t="str">
        <f t="shared" si="15"/>
        <v>/</v>
      </c>
      <c r="D212" s="256">
        <f t="shared" si="13"/>
        <v>29282.75</v>
      </c>
      <c r="E212" s="269"/>
      <c r="F212" s="259"/>
      <c r="G212" s="260"/>
      <c r="H212" s="261"/>
      <c r="I212" s="258"/>
      <c r="J212" s="259"/>
      <c r="K212" s="259"/>
      <c r="L212" s="261"/>
      <c r="M212" s="258"/>
      <c r="N212" s="259"/>
      <c r="O212" s="259"/>
      <c r="P212" s="261"/>
      <c r="Q212" s="258"/>
      <c r="R212" s="262"/>
      <c r="S212" s="263"/>
      <c r="T212" s="261"/>
      <c r="U212" s="796">
        <f>U180+1</f>
        <v>7</v>
      </c>
      <c r="V212" s="797">
        <f>28500.5-1008+112*U212</f>
        <v>28276.5</v>
      </c>
      <c r="W212" s="797" t="s">
        <v>106</v>
      </c>
      <c r="X212" s="798">
        <f>28500.5+112*U212</f>
        <v>29284.5</v>
      </c>
      <c r="Y212" s="261" t="s">
        <v>209</v>
      </c>
    </row>
    <row r="213" spans="1:25" x14ac:dyDescent="0.25">
      <c r="A213" s="189">
        <f t="shared" si="14"/>
        <v>209</v>
      </c>
      <c r="B213" s="112">
        <f t="shared" si="12"/>
        <v>28278.25</v>
      </c>
      <c r="C213" s="58" t="str">
        <f t="shared" si="15"/>
        <v>/</v>
      </c>
      <c r="D213" s="112">
        <f t="shared" si="13"/>
        <v>29286.25</v>
      </c>
      <c r="E213" s="270">
        <f>E211+1</f>
        <v>105</v>
      </c>
      <c r="F213" s="58">
        <f>28500.5-955.5+7*E213</f>
        <v>28280</v>
      </c>
      <c r="G213" s="55" t="s">
        <v>106</v>
      </c>
      <c r="H213" s="246">
        <f>28500.5+52.5+7*E213</f>
        <v>29288</v>
      </c>
      <c r="I213" s="245"/>
      <c r="J213" s="58"/>
      <c r="K213" s="58"/>
      <c r="L213" s="247"/>
      <c r="M213" s="245"/>
      <c r="N213" s="58"/>
      <c r="O213" s="58"/>
      <c r="P213" s="247"/>
      <c r="Q213" s="245"/>
      <c r="R213" s="248"/>
      <c r="S213" s="249"/>
      <c r="T213" s="247"/>
      <c r="U213" s="245"/>
      <c r="V213" s="249"/>
      <c r="W213" s="249"/>
      <c r="X213" s="247"/>
      <c r="Y213" s="202"/>
    </row>
    <row r="214" spans="1:25" x14ac:dyDescent="0.25">
      <c r="A214" s="189">
        <f t="shared" si="14"/>
        <v>210</v>
      </c>
      <c r="B214" s="112">
        <f t="shared" si="12"/>
        <v>28281.75</v>
      </c>
      <c r="C214" s="58" t="str">
        <f t="shared" si="15"/>
        <v>/</v>
      </c>
      <c r="D214" s="112">
        <f t="shared" si="13"/>
        <v>29289.75</v>
      </c>
      <c r="E214" s="270"/>
      <c r="F214" s="58"/>
      <c r="G214" s="55"/>
      <c r="H214" s="247"/>
      <c r="I214" s="245">
        <f>I210+1</f>
        <v>53</v>
      </c>
      <c r="J214" s="58">
        <f>28500.5-959+14*I214</f>
        <v>28283.5</v>
      </c>
      <c r="K214" s="55" t="s">
        <v>106</v>
      </c>
      <c r="L214" s="246">
        <f>28500.5+49+14*I214</f>
        <v>29291.5</v>
      </c>
      <c r="M214" s="245"/>
      <c r="N214" s="58"/>
      <c r="O214" s="58"/>
      <c r="P214" s="247"/>
      <c r="Q214" s="245"/>
      <c r="R214" s="248"/>
      <c r="S214" s="249"/>
      <c r="T214" s="247"/>
      <c r="U214" s="245"/>
      <c r="V214" s="249"/>
      <c r="W214" s="249"/>
      <c r="X214" s="247"/>
      <c r="Y214" s="202"/>
    </row>
    <row r="215" spans="1:25" x14ac:dyDescent="0.25">
      <c r="A215" s="189">
        <f t="shared" si="14"/>
        <v>211</v>
      </c>
      <c r="B215" s="112">
        <f t="shared" si="12"/>
        <v>28285.25</v>
      </c>
      <c r="C215" s="58" t="str">
        <f t="shared" si="15"/>
        <v>/</v>
      </c>
      <c r="D215" s="112">
        <f t="shared" si="13"/>
        <v>29293.25</v>
      </c>
      <c r="E215" s="270">
        <f>E213+1</f>
        <v>106</v>
      </c>
      <c r="F215" s="58">
        <f>28500.5-955.5+7*E215</f>
        <v>28287</v>
      </c>
      <c r="G215" s="55" t="s">
        <v>106</v>
      </c>
      <c r="H215" s="246">
        <f>28500.5+52.5+7*E215</f>
        <v>29295</v>
      </c>
      <c r="I215" s="245"/>
      <c r="J215" s="58"/>
      <c r="K215" s="58"/>
      <c r="L215" s="246"/>
      <c r="M215" s="245"/>
      <c r="N215" s="58"/>
      <c r="O215" s="58"/>
      <c r="P215" s="247"/>
      <c r="Q215" s="245"/>
      <c r="R215" s="248"/>
      <c r="S215" s="249"/>
      <c r="T215" s="247"/>
      <c r="U215" s="245"/>
      <c r="V215" s="249"/>
      <c r="W215" s="249"/>
      <c r="X215" s="247"/>
      <c r="Y215" s="202"/>
    </row>
    <row r="216" spans="1:25" x14ac:dyDescent="0.25">
      <c r="A216" s="189">
        <f t="shared" si="14"/>
        <v>212</v>
      </c>
      <c r="B216" s="112">
        <f t="shared" si="12"/>
        <v>28288.75</v>
      </c>
      <c r="C216" s="58" t="str">
        <f t="shared" si="15"/>
        <v>/</v>
      </c>
      <c r="D216" s="112">
        <f t="shared" si="13"/>
        <v>29296.75</v>
      </c>
      <c r="E216" s="270"/>
      <c r="F216" s="58"/>
      <c r="G216" s="55"/>
      <c r="H216" s="247"/>
      <c r="I216" s="245"/>
      <c r="J216" s="58"/>
      <c r="K216" s="58"/>
      <c r="L216" s="247"/>
      <c r="M216" s="245">
        <f>M208+1</f>
        <v>27</v>
      </c>
      <c r="N216" s="58">
        <f>28500.5-966+28*M216</f>
        <v>28290.5</v>
      </c>
      <c r="O216" s="55" t="s">
        <v>106</v>
      </c>
      <c r="P216" s="246">
        <f>28500.5+42+28*M216</f>
        <v>29298.5</v>
      </c>
      <c r="Q216" s="245"/>
      <c r="R216" s="252"/>
      <c r="S216" s="55"/>
      <c r="T216" s="246"/>
      <c r="U216" s="245"/>
      <c r="V216" s="249"/>
      <c r="W216" s="249"/>
      <c r="X216" s="247"/>
      <c r="Y216" s="202"/>
    </row>
    <row r="217" spans="1:25" x14ac:dyDescent="0.25">
      <c r="A217" s="189">
        <f t="shared" si="14"/>
        <v>213</v>
      </c>
      <c r="B217" s="112">
        <f t="shared" si="12"/>
        <v>28292.25</v>
      </c>
      <c r="C217" s="58" t="str">
        <f t="shared" si="15"/>
        <v>/</v>
      </c>
      <c r="D217" s="112">
        <f t="shared" si="13"/>
        <v>29300.25</v>
      </c>
      <c r="E217" s="270">
        <f>E215+1</f>
        <v>107</v>
      </c>
      <c r="F217" s="58">
        <f>28500.5-955.5+7*E217</f>
        <v>28294</v>
      </c>
      <c r="G217" s="55" t="s">
        <v>106</v>
      </c>
      <c r="H217" s="246">
        <f>28500.5+52.5+7*E217</f>
        <v>29302</v>
      </c>
      <c r="I217" s="245"/>
      <c r="J217" s="58"/>
      <c r="K217" s="58"/>
      <c r="L217" s="247"/>
      <c r="M217" s="245"/>
      <c r="N217" s="58"/>
      <c r="O217" s="58"/>
      <c r="P217" s="247"/>
      <c r="Q217" s="245"/>
      <c r="R217" s="248"/>
      <c r="S217" s="249"/>
      <c r="T217" s="247"/>
      <c r="U217" s="245"/>
      <c r="V217" s="249"/>
      <c r="W217" s="249"/>
      <c r="X217" s="247"/>
      <c r="Y217" s="202"/>
    </row>
    <row r="218" spans="1:25" x14ac:dyDescent="0.25">
      <c r="A218" s="189">
        <f t="shared" si="14"/>
        <v>214</v>
      </c>
      <c r="B218" s="112">
        <f t="shared" si="12"/>
        <v>28295.75</v>
      </c>
      <c r="C218" s="58" t="str">
        <f t="shared" si="15"/>
        <v>/</v>
      </c>
      <c r="D218" s="112">
        <f t="shared" si="13"/>
        <v>29303.75</v>
      </c>
      <c r="E218" s="270"/>
      <c r="F218" s="58"/>
      <c r="G218" s="55"/>
      <c r="H218" s="247"/>
      <c r="I218" s="245">
        <f>I214+1</f>
        <v>54</v>
      </c>
      <c r="J218" s="58">
        <f>28500.5-959+14*I218</f>
        <v>28297.5</v>
      </c>
      <c r="K218" s="55" t="s">
        <v>106</v>
      </c>
      <c r="L218" s="246">
        <f>28500.5+49+14*I218</f>
        <v>29305.5</v>
      </c>
      <c r="M218" s="245"/>
      <c r="N218" s="58"/>
      <c r="O218" s="58"/>
      <c r="P218" s="247"/>
      <c r="Q218" s="245"/>
      <c r="R218" s="248"/>
      <c r="S218" s="249"/>
      <c r="T218" s="247"/>
      <c r="U218" s="245"/>
      <c r="V218" s="249"/>
      <c r="W218" s="249"/>
      <c r="X218" s="247"/>
      <c r="Y218" s="202"/>
    </row>
    <row r="219" spans="1:25" x14ac:dyDescent="0.25">
      <c r="A219" s="189">
        <f t="shared" si="14"/>
        <v>215</v>
      </c>
      <c r="B219" s="112">
        <f t="shared" si="12"/>
        <v>28299.25</v>
      </c>
      <c r="C219" s="58" t="str">
        <f t="shared" si="15"/>
        <v>/</v>
      </c>
      <c r="D219" s="112">
        <f t="shared" si="13"/>
        <v>29307.25</v>
      </c>
      <c r="E219" s="270">
        <f>E217+1</f>
        <v>108</v>
      </c>
      <c r="F219" s="58">
        <f>28500.5-955.5+7*E219</f>
        <v>28301</v>
      </c>
      <c r="G219" s="55" t="s">
        <v>106</v>
      </c>
      <c r="H219" s="246">
        <f>28500.5+52.5+7*E219</f>
        <v>29309</v>
      </c>
      <c r="I219" s="245"/>
      <c r="J219" s="58"/>
      <c r="K219" s="58"/>
      <c r="L219" s="246"/>
      <c r="M219" s="245"/>
      <c r="N219" s="58"/>
      <c r="O219" s="58"/>
      <c r="P219" s="247"/>
      <c r="Q219" s="245"/>
      <c r="R219" s="248"/>
      <c r="S219" s="249"/>
      <c r="T219" s="247"/>
      <c r="U219" s="245"/>
      <c r="V219" s="249"/>
      <c r="W219" s="249"/>
      <c r="X219" s="247"/>
      <c r="Y219" s="202"/>
    </row>
    <row r="220" spans="1:25" x14ac:dyDescent="0.25">
      <c r="A220" s="189">
        <f t="shared" si="14"/>
        <v>216</v>
      </c>
      <c r="B220" s="112">
        <f t="shared" si="12"/>
        <v>28302.75</v>
      </c>
      <c r="C220" s="58" t="str">
        <f t="shared" si="15"/>
        <v>/</v>
      </c>
      <c r="D220" s="112">
        <f t="shared" si="13"/>
        <v>29310.75</v>
      </c>
      <c r="E220" s="270"/>
      <c r="F220" s="58"/>
      <c r="G220" s="55"/>
      <c r="H220" s="247"/>
      <c r="I220" s="245"/>
      <c r="J220" s="58"/>
      <c r="K220" s="58"/>
      <c r="L220" s="247"/>
      <c r="M220" s="245"/>
      <c r="N220" s="58"/>
      <c r="O220" s="58"/>
      <c r="P220" s="247"/>
      <c r="Q220" s="245">
        <f>Q204+1</f>
        <v>14</v>
      </c>
      <c r="R220" s="252">
        <f>28500.5-980+56*Q220</f>
        <v>28304.5</v>
      </c>
      <c r="S220" s="55" t="s">
        <v>106</v>
      </c>
      <c r="T220" s="246">
        <f>28500.5+28+56*Q220</f>
        <v>29312.5</v>
      </c>
      <c r="U220" s="245"/>
      <c r="V220" s="249"/>
      <c r="W220" s="249"/>
      <c r="X220" s="247"/>
      <c r="Y220" s="360" t="s">
        <v>213</v>
      </c>
    </row>
    <row r="221" spans="1:25" x14ac:dyDescent="0.25">
      <c r="A221" s="189">
        <f t="shared" si="14"/>
        <v>217</v>
      </c>
      <c r="B221" s="112">
        <f t="shared" si="12"/>
        <v>28306.25</v>
      </c>
      <c r="C221" s="58" t="str">
        <f t="shared" si="15"/>
        <v>/</v>
      </c>
      <c r="D221" s="112">
        <f t="shared" si="13"/>
        <v>29314.25</v>
      </c>
      <c r="E221" s="270">
        <f>E219+1</f>
        <v>109</v>
      </c>
      <c r="F221" s="58">
        <f>28500.5-955.5+7*E221</f>
        <v>28308</v>
      </c>
      <c r="G221" s="55" t="s">
        <v>106</v>
      </c>
      <c r="H221" s="246">
        <f>28500.5+52.5+7*E221</f>
        <v>29316</v>
      </c>
      <c r="I221" s="245"/>
      <c r="J221" s="58"/>
      <c r="K221" s="58"/>
      <c r="L221" s="247"/>
      <c r="M221" s="245"/>
      <c r="N221" s="58"/>
      <c r="O221" s="58"/>
      <c r="P221" s="247"/>
      <c r="Q221" s="245"/>
      <c r="R221" s="248"/>
      <c r="S221" s="249"/>
      <c r="T221" s="247"/>
      <c r="U221" s="245"/>
      <c r="V221" s="249"/>
      <c r="W221" s="249"/>
      <c r="X221" s="247"/>
      <c r="Y221" s="202"/>
    </row>
    <row r="222" spans="1:25" x14ac:dyDescent="0.25">
      <c r="A222" s="189">
        <f t="shared" si="14"/>
        <v>218</v>
      </c>
      <c r="B222" s="112">
        <f t="shared" si="12"/>
        <v>28309.75</v>
      </c>
      <c r="C222" s="58" t="str">
        <f t="shared" si="15"/>
        <v>/</v>
      </c>
      <c r="D222" s="112">
        <f t="shared" si="13"/>
        <v>29317.75</v>
      </c>
      <c r="E222" s="270"/>
      <c r="F222" s="58"/>
      <c r="G222" s="55"/>
      <c r="H222" s="247"/>
      <c r="I222" s="245">
        <f>I218+1</f>
        <v>55</v>
      </c>
      <c r="J222" s="58">
        <f>28500.5-959+14*I222</f>
        <v>28311.5</v>
      </c>
      <c r="K222" s="55" t="s">
        <v>106</v>
      </c>
      <c r="L222" s="246">
        <f>28500.5+49+14*I222</f>
        <v>29319.5</v>
      </c>
      <c r="M222" s="245"/>
      <c r="N222" s="58"/>
      <c r="O222" s="58"/>
      <c r="P222" s="247"/>
      <c r="Q222" s="245"/>
      <c r="R222" s="248"/>
      <c r="S222" s="249"/>
      <c r="T222" s="247"/>
      <c r="U222" s="245"/>
      <c r="V222" s="249"/>
      <c r="W222" s="249"/>
      <c r="X222" s="247"/>
      <c r="Y222" s="202"/>
    </row>
    <row r="223" spans="1:25" x14ac:dyDescent="0.25">
      <c r="A223" s="189">
        <f t="shared" si="14"/>
        <v>219</v>
      </c>
      <c r="B223" s="112">
        <f t="shared" si="12"/>
        <v>28313.25</v>
      </c>
      <c r="C223" s="58" t="str">
        <f t="shared" si="15"/>
        <v>/</v>
      </c>
      <c r="D223" s="112">
        <f t="shared" si="13"/>
        <v>29321.25</v>
      </c>
      <c r="E223" s="270">
        <f>E221+1</f>
        <v>110</v>
      </c>
      <c r="F223" s="58">
        <f>28500.5-955.5+7*E223</f>
        <v>28315</v>
      </c>
      <c r="G223" s="55" t="s">
        <v>106</v>
      </c>
      <c r="H223" s="246">
        <f>28500.5+52.5+7*E223</f>
        <v>29323</v>
      </c>
      <c r="I223" s="245"/>
      <c r="J223" s="58"/>
      <c r="K223" s="58"/>
      <c r="L223" s="246"/>
      <c r="M223" s="245"/>
      <c r="N223" s="58"/>
      <c r="O223" s="58"/>
      <c r="P223" s="247"/>
      <c r="Q223" s="245"/>
      <c r="R223" s="248"/>
      <c r="S223" s="249"/>
      <c r="T223" s="247"/>
      <c r="U223" s="245"/>
      <c r="V223" s="249"/>
      <c r="W223" s="249"/>
      <c r="X223" s="247"/>
      <c r="Y223" s="202"/>
    </row>
    <row r="224" spans="1:25" x14ac:dyDescent="0.25">
      <c r="A224" s="189">
        <f t="shared" si="14"/>
        <v>220</v>
      </c>
      <c r="B224" s="112">
        <f t="shared" si="12"/>
        <v>28316.75</v>
      </c>
      <c r="C224" s="58" t="str">
        <f t="shared" si="15"/>
        <v>/</v>
      </c>
      <c r="D224" s="112">
        <f t="shared" si="13"/>
        <v>29324.75</v>
      </c>
      <c r="E224" s="270"/>
      <c r="F224" s="58"/>
      <c r="G224" s="55"/>
      <c r="H224" s="247"/>
      <c r="I224" s="245"/>
      <c r="J224" s="58"/>
      <c r="K224" s="58"/>
      <c r="L224" s="247"/>
      <c r="M224" s="245">
        <f>M216+1</f>
        <v>28</v>
      </c>
      <c r="N224" s="58">
        <f>28500.5-966+28*M224</f>
        <v>28318.5</v>
      </c>
      <c r="O224" s="55" t="s">
        <v>106</v>
      </c>
      <c r="P224" s="246">
        <f>28500.5+42+28*M224</f>
        <v>29326.5</v>
      </c>
      <c r="Q224" s="245"/>
      <c r="R224" s="248"/>
      <c r="S224" s="249"/>
      <c r="T224" s="247"/>
      <c r="U224" s="245"/>
      <c r="V224" s="249"/>
      <c r="W224" s="249"/>
      <c r="X224" s="247"/>
      <c r="Y224" s="202"/>
    </row>
    <row r="225" spans="1:25" x14ac:dyDescent="0.25">
      <c r="A225" s="189">
        <f t="shared" si="14"/>
        <v>221</v>
      </c>
      <c r="B225" s="112">
        <f t="shared" si="12"/>
        <v>28320.25</v>
      </c>
      <c r="C225" s="58" t="str">
        <f t="shared" si="15"/>
        <v>/</v>
      </c>
      <c r="D225" s="112">
        <f t="shared" si="13"/>
        <v>29328.25</v>
      </c>
      <c r="E225" s="270">
        <f>E223+1</f>
        <v>111</v>
      </c>
      <c r="F225" s="58">
        <f>28500.5-955.5+7*E225</f>
        <v>28322</v>
      </c>
      <c r="G225" s="55" t="s">
        <v>106</v>
      </c>
      <c r="H225" s="246">
        <f>28500.5+52.5+7*E225</f>
        <v>29330</v>
      </c>
      <c r="I225" s="245"/>
      <c r="J225" s="58"/>
      <c r="K225" s="58"/>
      <c r="L225" s="247"/>
      <c r="M225" s="245"/>
      <c r="N225" s="58"/>
      <c r="O225" s="58"/>
      <c r="P225" s="247"/>
      <c r="Q225" s="245"/>
      <c r="R225" s="248"/>
      <c r="S225" s="249"/>
      <c r="T225" s="247"/>
      <c r="U225" s="245"/>
      <c r="V225" s="249"/>
      <c r="W225" s="249"/>
      <c r="X225" s="247"/>
      <c r="Y225" s="202"/>
    </row>
    <row r="226" spans="1:25" x14ac:dyDescent="0.25">
      <c r="A226" s="189">
        <f t="shared" si="14"/>
        <v>222</v>
      </c>
      <c r="B226" s="112">
        <f t="shared" si="12"/>
        <v>28323.75</v>
      </c>
      <c r="C226" s="58" t="str">
        <f t="shared" si="15"/>
        <v>/</v>
      </c>
      <c r="D226" s="112">
        <f t="shared" si="13"/>
        <v>29331.75</v>
      </c>
      <c r="E226" s="270"/>
      <c r="F226" s="58"/>
      <c r="G226" s="55"/>
      <c r="H226" s="247"/>
      <c r="I226" s="245">
        <f>I222+1</f>
        <v>56</v>
      </c>
      <c r="J226" s="58">
        <f>28500.5-959+14*I226</f>
        <v>28325.5</v>
      </c>
      <c r="K226" s="55" t="s">
        <v>106</v>
      </c>
      <c r="L226" s="246">
        <f>28500.5+49+14*I226</f>
        <v>29333.5</v>
      </c>
      <c r="M226" s="245"/>
      <c r="N226" s="58"/>
      <c r="O226" s="58"/>
      <c r="P226" s="247"/>
      <c r="Q226" s="245"/>
      <c r="R226" s="248"/>
      <c r="S226" s="249"/>
      <c r="T226" s="247"/>
      <c r="U226" s="245"/>
      <c r="V226" s="249"/>
      <c r="W226" s="249"/>
      <c r="X226" s="247"/>
      <c r="Y226" s="202"/>
    </row>
    <row r="227" spans="1:25" x14ac:dyDescent="0.25">
      <c r="A227" s="189">
        <f t="shared" si="14"/>
        <v>223</v>
      </c>
      <c r="B227" s="112">
        <f t="shared" si="12"/>
        <v>28327.25</v>
      </c>
      <c r="C227" s="58" t="str">
        <f t="shared" si="15"/>
        <v>/</v>
      </c>
      <c r="D227" s="112">
        <f t="shared" si="13"/>
        <v>29335.25</v>
      </c>
      <c r="E227" s="270">
        <f>E225+1</f>
        <v>112</v>
      </c>
      <c r="F227" s="58">
        <f>28500.5-955.5+7*E227</f>
        <v>28329</v>
      </c>
      <c r="G227" s="55" t="s">
        <v>106</v>
      </c>
      <c r="H227" s="246">
        <f>28500.5+52.5+7*E227</f>
        <v>29337</v>
      </c>
      <c r="I227" s="245"/>
      <c r="J227" s="58"/>
      <c r="K227" s="58"/>
      <c r="L227" s="246"/>
      <c r="M227" s="245"/>
      <c r="N227" s="58"/>
      <c r="O227" s="58"/>
      <c r="P227" s="247"/>
      <c r="Q227" s="245"/>
      <c r="R227" s="248"/>
      <c r="S227" s="249"/>
      <c r="T227" s="247"/>
      <c r="U227" s="245"/>
      <c r="V227" s="249"/>
      <c r="W227" s="249"/>
      <c r="X227" s="247"/>
      <c r="Y227" s="202"/>
    </row>
    <row r="228" spans="1:25" x14ac:dyDescent="0.25">
      <c r="A228" s="189">
        <f t="shared" si="14"/>
        <v>224</v>
      </c>
      <c r="B228" s="112">
        <f t="shared" si="12"/>
        <v>28330.75</v>
      </c>
      <c r="C228" s="58" t="str">
        <f t="shared" si="15"/>
        <v>/</v>
      </c>
      <c r="D228" s="112">
        <f t="shared" si="13"/>
        <v>29338.75</v>
      </c>
      <c r="E228" s="270"/>
      <c r="F228" s="58"/>
      <c r="G228" s="55"/>
      <c r="H228" s="247"/>
      <c r="I228" s="245"/>
      <c r="J228" s="58"/>
      <c r="K228" s="58"/>
      <c r="L228" s="247"/>
      <c r="M228" s="245"/>
      <c r="N228" s="58"/>
      <c r="O228" s="58"/>
      <c r="P228" s="247"/>
      <c r="Q228" s="245"/>
      <c r="R228" s="248"/>
      <c r="S228" s="249"/>
      <c r="T228" s="247"/>
      <c r="U228" s="245"/>
      <c r="V228" s="249"/>
      <c r="W228" s="249"/>
      <c r="X228" s="247"/>
      <c r="Y228" s="202"/>
    </row>
    <row r="229" spans="1:25" x14ac:dyDescent="0.25">
      <c r="A229" s="606">
        <f t="shared" si="14"/>
        <v>225</v>
      </c>
      <c r="B229" s="617">
        <f t="shared" si="12"/>
        <v>28334.25</v>
      </c>
      <c r="C229" s="618" t="str">
        <f t="shared" si="15"/>
        <v>/</v>
      </c>
      <c r="D229" s="617">
        <f t="shared" si="13"/>
        <v>29342.25</v>
      </c>
      <c r="E229" s="638">
        <f>E227+1</f>
        <v>113</v>
      </c>
      <c r="F229" s="618">
        <f>28500.5-955.5+7*E229</f>
        <v>28336</v>
      </c>
      <c r="G229" s="620" t="s">
        <v>106</v>
      </c>
      <c r="H229" s="621">
        <f>28500.5+52.5+7*E229</f>
        <v>29344</v>
      </c>
      <c r="I229" s="619"/>
      <c r="J229" s="618"/>
      <c r="K229" s="618"/>
      <c r="L229" s="622"/>
      <c r="M229" s="619"/>
      <c r="N229" s="618"/>
      <c r="O229" s="618"/>
      <c r="P229" s="622"/>
      <c r="Q229" s="619"/>
      <c r="R229" s="623"/>
      <c r="S229" s="624"/>
      <c r="T229" s="622"/>
      <c r="U229" s="619"/>
      <c r="V229" s="624"/>
      <c r="W229" s="624"/>
      <c r="X229" s="622"/>
      <c r="Y229" s="636"/>
    </row>
    <row r="230" spans="1:25" x14ac:dyDescent="0.25">
      <c r="A230" s="606">
        <f t="shared" si="14"/>
        <v>226</v>
      </c>
      <c r="B230" s="617">
        <f t="shared" si="12"/>
        <v>28337.75</v>
      </c>
      <c r="C230" s="618" t="str">
        <f t="shared" si="15"/>
        <v>/</v>
      </c>
      <c r="D230" s="617">
        <f t="shared" si="13"/>
        <v>29345.75</v>
      </c>
      <c r="E230" s="638"/>
      <c r="F230" s="618"/>
      <c r="G230" s="620"/>
      <c r="H230" s="622"/>
      <c r="I230" s="619">
        <f>I226+1</f>
        <v>57</v>
      </c>
      <c r="J230" s="618">
        <f>28500.5-959+14*I230</f>
        <v>28339.5</v>
      </c>
      <c r="K230" s="620" t="s">
        <v>106</v>
      </c>
      <c r="L230" s="621">
        <f>28500.5+49+14*I230</f>
        <v>29347.5</v>
      </c>
      <c r="M230" s="619"/>
      <c r="N230" s="618"/>
      <c r="O230" s="618"/>
      <c r="P230" s="622"/>
      <c r="Q230" s="619"/>
      <c r="R230" s="623"/>
      <c r="S230" s="624"/>
      <c r="T230" s="622"/>
      <c r="U230" s="619"/>
      <c r="V230" s="624"/>
      <c r="W230" s="624"/>
      <c r="X230" s="622"/>
      <c r="Y230" s="636"/>
    </row>
    <row r="231" spans="1:25" x14ac:dyDescent="0.25">
      <c r="A231" s="606">
        <f t="shared" si="14"/>
        <v>227</v>
      </c>
      <c r="B231" s="617">
        <f t="shared" si="12"/>
        <v>28341.25</v>
      </c>
      <c r="C231" s="618" t="str">
        <f t="shared" si="15"/>
        <v>/</v>
      </c>
      <c r="D231" s="617">
        <f t="shared" si="13"/>
        <v>29349.25</v>
      </c>
      <c r="E231" s="638">
        <f>E229+1</f>
        <v>114</v>
      </c>
      <c r="F231" s="618">
        <f>28500.5-955.5+7*E231</f>
        <v>28343</v>
      </c>
      <c r="G231" s="620" t="s">
        <v>106</v>
      </c>
      <c r="H231" s="621">
        <f>28500.5+52.5+7*E231</f>
        <v>29351</v>
      </c>
      <c r="I231" s="619"/>
      <c r="J231" s="618"/>
      <c r="K231" s="618"/>
      <c r="L231" s="621"/>
      <c r="M231" s="619"/>
      <c r="N231" s="618"/>
      <c r="O231" s="618"/>
      <c r="P231" s="622"/>
      <c r="Q231" s="619"/>
      <c r="R231" s="623"/>
      <c r="S231" s="624"/>
      <c r="T231" s="622"/>
      <c r="U231" s="619"/>
      <c r="V231" s="624"/>
      <c r="W231" s="624"/>
      <c r="X231" s="622"/>
      <c r="Y231" s="636"/>
    </row>
    <row r="232" spans="1:25" x14ac:dyDescent="0.25">
      <c r="A232" s="606">
        <f t="shared" si="14"/>
        <v>228</v>
      </c>
      <c r="B232" s="617">
        <f t="shared" si="12"/>
        <v>28344.75</v>
      </c>
      <c r="C232" s="618" t="str">
        <f t="shared" si="15"/>
        <v>/</v>
      </c>
      <c r="D232" s="617">
        <f t="shared" si="13"/>
        <v>29352.75</v>
      </c>
      <c r="E232" s="638"/>
      <c r="F232" s="618"/>
      <c r="G232" s="620"/>
      <c r="H232" s="622"/>
      <c r="I232" s="619"/>
      <c r="J232" s="618"/>
      <c r="K232" s="618"/>
      <c r="L232" s="622"/>
      <c r="M232" s="619">
        <f>M224+1</f>
        <v>29</v>
      </c>
      <c r="N232" s="618">
        <f>28500.5-966+28*M232</f>
        <v>28346.5</v>
      </c>
      <c r="O232" s="620" t="s">
        <v>106</v>
      </c>
      <c r="P232" s="621">
        <f>28500.5+42+28*M232</f>
        <v>29354.5</v>
      </c>
      <c r="Q232" s="619"/>
      <c r="R232" s="627"/>
      <c r="S232" s="620"/>
      <c r="T232" s="621"/>
      <c r="U232" s="619"/>
      <c r="V232" s="624"/>
      <c r="W232" s="624"/>
      <c r="X232" s="622"/>
      <c r="Y232" s="636"/>
    </row>
    <row r="233" spans="1:25" x14ac:dyDescent="0.25">
      <c r="A233" s="606">
        <f t="shared" si="14"/>
        <v>229</v>
      </c>
      <c r="B233" s="617">
        <f t="shared" si="12"/>
        <v>28348.25</v>
      </c>
      <c r="C233" s="618" t="str">
        <f t="shared" si="15"/>
        <v>/</v>
      </c>
      <c r="D233" s="617">
        <f t="shared" si="13"/>
        <v>29356.25</v>
      </c>
      <c r="E233" s="638">
        <f>E231+1</f>
        <v>115</v>
      </c>
      <c r="F233" s="618">
        <f>28500.5-955.5+7*E233</f>
        <v>28350</v>
      </c>
      <c r="G233" s="620" t="s">
        <v>106</v>
      </c>
      <c r="H233" s="621">
        <f>28500.5+52.5+7*E233</f>
        <v>29358</v>
      </c>
      <c r="I233" s="619"/>
      <c r="J233" s="618"/>
      <c r="K233" s="618"/>
      <c r="L233" s="622"/>
      <c r="M233" s="619"/>
      <c r="N233" s="618"/>
      <c r="O233" s="618"/>
      <c r="P233" s="622"/>
      <c r="Q233" s="619"/>
      <c r="R233" s="623"/>
      <c r="S233" s="624"/>
      <c r="T233" s="622"/>
      <c r="U233" s="619"/>
      <c r="V233" s="624"/>
      <c r="W233" s="624"/>
      <c r="X233" s="622"/>
      <c r="Y233" s="636"/>
    </row>
    <row r="234" spans="1:25" x14ac:dyDescent="0.25">
      <c r="A234" s="606">
        <f t="shared" si="14"/>
        <v>230</v>
      </c>
      <c r="B234" s="617">
        <f t="shared" si="12"/>
        <v>28351.75</v>
      </c>
      <c r="C234" s="618" t="str">
        <f t="shared" si="15"/>
        <v>/</v>
      </c>
      <c r="D234" s="617">
        <f t="shared" si="13"/>
        <v>29359.75</v>
      </c>
      <c r="E234" s="638"/>
      <c r="F234" s="618"/>
      <c r="G234" s="620"/>
      <c r="H234" s="622"/>
      <c r="I234" s="619">
        <f>I230+1</f>
        <v>58</v>
      </c>
      <c r="J234" s="618">
        <f>28500.5-959+14*I234</f>
        <v>28353.5</v>
      </c>
      <c r="K234" s="620" t="s">
        <v>106</v>
      </c>
      <c r="L234" s="621">
        <f>28500.5+49+14*I234</f>
        <v>29361.5</v>
      </c>
      <c r="M234" s="619"/>
      <c r="N234" s="618"/>
      <c r="O234" s="618"/>
      <c r="P234" s="622"/>
      <c r="Q234" s="619"/>
      <c r="R234" s="623"/>
      <c r="S234" s="624"/>
      <c r="T234" s="622"/>
      <c r="U234" s="619"/>
      <c r="V234" s="624"/>
      <c r="W234" s="624"/>
      <c r="X234" s="622"/>
      <c r="Y234" s="636"/>
    </row>
    <row r="235" spans="1:25" x14ac:dyDescent="0.25">
      <c r="A235" s="606">
        <f t="shared" si="14"/>
        <v>231</v>
      </c>
      <c r="B235" s="617">
        <f t="shared" si="12"/>
        <v>28355.25</v>
      </c>
      <c r="C235" s="618" t="str">
        <f t="shared" si="15"/>
        <v>/</v>
      </c>
      <c r="D235" s="617">
        <f t="shared" si="13"/>
        <v>29363.25</v>
      </c>
      <c r="E235" s="638">
        <f>E233+1</f>
        <v>116</v>
      </c>
      <c r="F235" s="618">
        <f>28500.5-955.5+7*E235</f>
        <v>28357</v>
      </c>
      <c r="G235" s="620" t="s">
        <v>106</v>
      </c>
      <c r="H235" s="621">
        <f>28500.5+52.5+7*E235</f>
        <v>29365</v>
      </c>
      <c r="I235" s="619"/>
      <c r="J235" s="618"/>
      <c r="K235" s="618"/>
      <c r="L235" s="621"/>
      <c r="M235" s="619"/>
      <c r="N235" s="618"/>
      <c r="O235" s="618"/>
      <c r="P235" s="622"/>
      <c r="Q235" s="619"/>
      <c r="R235" s="623"/>
      <c r="S235" s="624"/>
      <c r="T235" s="622"/>
      <c r="U235" s="619"/>
      <c r="V235" s="624"/>
      <c r="W235" s="624"/>
      <c r="X235" s="622"/>
      <c r="Y235" s="636"/>
    </row>
    <row r="236" spans="1:25" x14ac:dyDescent="0.25">
      <c r="A236" s="606">
        <f t="shared" si="14"/>
        <v>232</v>
      </c>
      <c r="B236" s="617">
        <f t="shared" si="12"/>
        <v>28358.75</v>
      </c>
      <c r="C236" s="618" t="str">
        <f t="shared" si="15"/>
        <v>/</v>
      </c>
      <c r="D236" s="617">
        <f t="shared" si="13"/>
        <v>29366.75</v>
      </c>
      <c r="E236" s="638"/>
      <c r="F236" s="618"/>
      <c r="G236" s="620"/>
      <c r="H236" s="622"/>
      <c r="I236" s="619"/>
      <c r="J236" s="618"/>
      <c r="K236" s="618"/>
      <c r="L236" s="622"/>
      <c r="M236" s="619"/>
      <c r="N236" s="618"/>
      <c r="O236" s="618"/>
      <c r="P236" s="622"/>
      <c r="Q236" s="619">
        <f>Q220+1</f>
        <v>15</v>
      </c>
      <c r="R236" s="627">
        <f>28500.5-980+56*Q236</f>
        <v>28360.5</v>
      </c>
      <c r="S236" s="620" t="s">
        <v>106</v>
      </c>
      <c r="T236" s="621">
        <f>28500.5+28+56*Q236</f>
        <v>29368.5</v>
      </c>
      <c r="U236" s="619"/>
      <c r="V236" s="624"/>
      <c r="W236" s="624"/>
      <c r="X236" s="622"/>
      <c r="Y236" s="636"/>
    </row>
    <row r="237" spans="1:25" x14ac:dyDescent="0.25">
      <c r="A237" s="606">
        <f t="shared" si="14"/>
        <v>233</v>
      </c>
      <c r="B237" s="617">
        <f t="shared" si="12"/>
        <v>28362.25</v>
      </c>
      <c r="C237" s="618" t="str">
        <f t="shared" si="15"/>
        <v>/</v>
      </c>
      <c r="D237" s="617">
        <f t="shared" si="13"/>
        <v>29370.25</v>
      </c>
      <c r="E237" s="638">
        <f>E235+1</f>
        <v>117</v>
      </c>
      <c r="F237" s="618">
        <f>28500.5-955.5+7*E237</f>
        <v>28364</v>
      </c>
      <c r="G237" s="620" t="s">
        <v>106</v>
      </c>
      <c r="H237" s="621">
        <f>28500.5+52.5+7*E237</f>
        <v>29372</v>
      </c>
      <c r="I237" s="619"/>
      <c r="J237" s="618"/>
      <c r="K237" s="618"/>
      <c r="L237" s="622"/>
      <c r="M237" s="619"/>
      <c r="N237" s="618"/>
      <c r="O237" s="618"/>
      <c r="P237" s="622"/>
      <c r="Q237" s="619"/>
      <c r="R237" s="623"/>
      <c r="S237" s="624"/>
      <c r="T237" s="622"/>
      <c r="U237" s="619"/>
      <c r="V237" s="624"/>
      <c r="W237" s="624"/>
      <c r="X237" s="622"/>
      <c r="Y237" s="636"/>
    </row>
    <row r="238" spans="1:25" x14ac:dyDescent="0.25">
      <c r="A238" s="606">
        <f t="shared" si="14"/>
        <v>234</v>
      </c>
      <c r="B238" s="617">
        <f t="shared" si="12"/>
        <v>28365.75</v>
      </c>
      <c r="C238" s="618" t="str">
        <f t="shared" si="15"/>
        <v>/</v>
      </c>
      <c r="D238" s="617">
        <f t="shared" si="13"/>
        <v>29373.75</v>
      </c>
      <c r="E238" s="638"/>
      <c r="F238" s="618"/>
      <c r="G238" s="620"/>
      <c r="H238" s="622"/>
      <c r="I238" s="619">
        <f>I234+1</f>
        <v>59</v>
      </c>
      <c r="J238" s="618">
        <f>28500.5-959+14*I238</f>
        <v>28367.5</v>
      </c>
      <c r="K238" s="620" t="s">
        <v>106</v>
      </c>
      <c r="L238" s="621">
        <f>28500.5+49+14*I238</f>
        <v>29375.5</v>
      </c>
      <c r="M238" s="619"/>
      <c r="N238" s="618"/>
      <c r="O238" s="618"/>
      <c r="P238" s="622"/>
      <c r="Q238" s="619"/>
      <c r="R238" s="623"/>
      <c r="S238" s="624"/>
      <c r="T238" s="622"/>
      <c r="U238" s="619"/>
      <c r="V238" s="624"/>
      <c r="W238" s="624"/>
      <c r="X238" s="622"/>
      <c r="Y238" s="636"/>
    </row>
    <row r="239" spans="1:25" x14ac:dyDescent="0.25">
      <c r="A239" s="606">
        <f t="shared" si="14"/>
        <v>235</v>
      </c>
      <c r="B239" s="617">
        <f t="shared" si="12"/>
        <v>28369.25</v>
      </c>
      <c r="C239" s="618" t="str">
        <f t="shared" si="15"/>
        <v>/</v>
      </c>
      <c r="D239" s="617">
        <f t="shared" si="13"/>
        <v>29377.25</v>
      </c>
      <c r="E239" s="638">
        <f>E237+1</f>
        <v>118</v>
      </c>
      <c r="F239" s="618">
        <f>28500.5-955.5+7*E239</f>
        <v>28371</v>
      </c>
      <c r="G239" s="620" t="s">
        <v>106</v>
      </c>
      <c r="H239" s="621">
        <f>28500.5+52.5+7*E239</f>
        <v>29379</v>
      </c>
      <c r="I239" s="619"/>
      <c r="J239" s="618"/>
      <c r="K239" s="618"/>
      <c r="L239" s="621"/>
      <c r="M239" s="619"/>
      <c r="N239" s="618"/>
      <c r="O239" s="618"/>
      <c r="P239" s="622"/>
      <c r="Q239" s="619"/>
      <c r="R239" s="623"/>
      <c r="S239" s="624"/>
      <c r="T239" s="622"/>
      <c r="U239" s="619"/>
      <c r="V239" s="624"/>
      <c r="W239" s="624"/>
      <c r="X239" s="622"/>
      <c r="Y239" s="636"/>
    </row>
    <row r="240" spans="1:25" x14ac:dyDescent="0.25">
      <c r="A240" s="606">
        <f t="shared" si="14"/>
        <v>236</v>
      </c>
      <c r="B240" s="617">
        <f t="shared" si="12"/>
        <v>28372.75</v>
      </c>
      <c r="C240" s="618" t="str">
        <f t="shared" si="15"/>
        <v>/</v>
      </c>
      <c r="D240" s="617">
        <f t="shared" si="13"/>
        <v>29380.75</v>
      </c>
      <c r="E240" s="638"/>
      <c r="F240" s="618"/>
      <c r="G240" s="620"/>
      <c r="H240" s="622"/>
      <c r="I240" s="619"/>
      <c r="J240" s="618"/>
      <c r="K240" s="618"/>
      <c r="L240" s="622"/>
      <c r="M240" s="619">
        <f>M232+1</f>
        <v>30</v>
      </c>
      <c r="N240" s="618">
        <f>28500.5-966+28*M240</f>
        <v>28374.5</v>
      </c>
      <c r="O240" s="620" t="s">
        <v>106</v>
      </c>
      <c r="P240" s="621">
        <f>28500.5+42+28*M240</f>
        <v>29382.5</v>
      </c>
      <c r="Q240" s="619"/>
      <c r="R240" s="623"/>
      <c r="S240" s="624"/>
      <c r="T240" s="622"/>
      <c r="U240" s="619"/>
      <c r="V240" s="624"/>
      <c r="W240" s="624"/>
      <c r="X240" s="622"/>
      <c r="Y240" s="636"/>
    </row>
    <row r="241" spans="1:25" x14ac:dyDescent="0.25">
      <c r="A241" s="606">
        <f t="shared" si="14"/>
        <v>237</v>
      </c>
      <c r="B241" s="617">
        <f t="shared" si="12"/>
        <v>28376.25</v>
      </c>
      <c r="C241" s="618" t="str">
        <f t="shared" si="15"/>
        <v>/</v>
      </c>
      <c r="D241" s="617">
        <f t="shared" si="13"/>
        <v>29384.25</v>
      </c>
      <c r="E241" s="638">
        <f>E239+1</f>
        <v>119</v>
      </c>
      <c r="F241" s="618">
        <f>28500.5-955.5+7*E241</f>
        <v>28378</v>
      </c>
      <c r="G241" s="620" t="s">
        <v>106</v>
      </c>
      <c r="H241" s="621">
        <f>28500.5+52.5+7*E241</f>
        <v>29386</v>
      </c>
      <c r="I241" s="619"/>
      <c r="J241" s="618"/>
      <c r="K241" s="618"/>
      <c r="L241" s="622"/>
      <c r="M241" s="619"/>
      <c r="N241" s="618"/>
      <c r="O241" s="618"/>
      <c r="P241" s="622"/>
      <c r="Q241" s="619"/>
      <c r="R241" s="623"/>
      <c r="S241" s="624"/>
      <c r="T241" s="622"/>
      <c r="U241" s="619"/>
      <c r="V241" s="624"/>
      <c r="W241" s="624"/>
      <c r="X241" s="622"/>
      <c r="Y241" s="636"/>
    </row>
    <row r="242" spans="1:25" x14ac:dyDescent="0.25">
      <c r="A242" s="606">
        <f t="shared" si="14"/>
        <v>238</v>
      </c>
      <c r="B242" s="617">
        <f t="shared" si="12"/>
        <v>28379.75</v>
      </c>
      <c r="C242" s="618" t="str">
        <f t="shared" si="15"/>
        <v>/</v>
      </c>
      <c r="D242" s="617">
        <f t="shared" si="13"/>
        <v>29387.75</v>
      </c>
      <c r="E242" s="638"/>
      <c r="F242" s="618"/>
      <c r="G242" s="620"/>
      <c r="H242" s="622"/>
      <c r="I242" s="619">
        <f>I238+1</f>
        <v>60</v>
      </c>
      <c r="J242" s="618">
        <f>28500.5-959+14*I242</f>
        <v>28381.5</v>
      </c>
      <c r="K242" s="620" t="s">
        <v>106</v>
      </c>
      <c r="L242" s="621">
        <f>28500.5+49+14*I242</f>
        <v>29389.5</v>
      </c>
      <c r="M242" s="619"/>
      <c r="N242" s="618"/>
      <c r="O242" s="618"/>
      <c r="P242" s="622"/>
      <c r="Q242" s="619"/>
      <c r="R242" s="623"/>
      <c r="S242" s="624"/>
      <c r="T242" s="622"/>
      <c r="U242" s="619"/>
      <c r="V242" s="624"/>
      <c r="W242" s="624"/>
      <c r="X242" s="622"/>
      <c r="Y242" s="636"/>
    </row>
    <row r="243" spans="1:25" x14ac:dyDescent="0.25">
      <c r="A243" s="606">
        <f t="shared" si="14"/>
        <v>239</v>
      </c>
      <c r="B243" s="617">
        <f t="shared" si="12"/>
        <v>28383.25</v>
      </c>
      <c r="C243" s="618" t="str">
        <f t="shared" si="15"/>
        <v>/</v>
      </c>
      <c r="D243" s="617">
        <f t="shared" si="13"/>
        <v>29391.25</v>
      </c>
      <c r="E243" s="638">
        <f>E241+1</f>
        <v>120</v>
      </c>
      <c r="F243" s="618">
        <f>28500.5-955.5+7*E243</f>
        <v>28385</v>
      </c>
      <c r="G243" s="620" t="s">
        <v>106</v>
      </c>
      <c r="H243" s="621">
        <f>28500.5+52.5+7*E243</f>
        <v>29393</v>
      </c>
      <c r="I243" s="619"/>
      <c r="J243" s="618"/>
      <c r="K243" s="618"/>
      <c r="L243" s="621"/>
      <c r="M243" s="619"/>
      <c r="N243" s="618"/>
      <c r="O243" s="618"/>
      <c r="P243" s="622"/>
      <c r="Q243" s="619"/>
      <c r="R243" s="623"/>
      <c r="S243" s="624"/>
      <c r="T243" s="622"/>
      <c r="U243" s="619"/>
      <c r="V243" s="624"/>
      <c r="W243" s="624"/>
      <c r="X243" s="622"/>
      <c r="Y243" s="649" t="s">
        <v>156</v>
      </c>
    </row>
    <row r="244" spans="1:25" x14ac:dyDescent="0.25">
      <c r="A244" s="189">
        <f t="shared" si="14"/>
        <v>240</v>
      </c>
      <c r="B244" s="256">
        <f t="shared" si="12"/>
        <v>28386.75</v>
      </c>
      <c r="C244" s="259" t="str">
        <f t="shared" si="15"/>
        <v>/</v>
      </c>
      <c r="D244" s="256">
        <f t="shared" si="13"/>
        <v>29394.75</v>
      </c>
      <c r="E244" s="269"/>
      <c r="F244" s="259"/>
      <c r="G244" s="260"/>
      <c r="H244" s="261"/>
      <c r="I244" s="258"/>
      <c r="J244" s="259"/>
      <c r="K244" s="259"/>
      <c r="L244" s="261"/>
      <c r="M244" s="258"/>
      <c r="N244" s="259"/>
      <c r="O244" s="259"/>
      <c r="P244" s="261"/>
      <c r="Q244" s="780"/>
      <c r="R244" s="781"/>
      <c r="S244" s="779"/>
      <c r="T244" s="782"/>
      <c r="U244" s="792">
        <f>U212+1</f>
        <v>8</v>
      </c>
      <c r="V244" s="793">
        <f>28500.5-1008+112*U244</f>
        <v>28388.5</v>
      </c>
      <c r="W244" s="793" t="s">
        <v>106</v>
      </c>
      <c r="X244" s="794">
        <f>28500.5+112*U244</f>
        <v>29396.5</v>
      </c>
      <c r="Y244" s="795" t="s">
        <v>209</v>
      </c>
    </row>
    <row r="245" spans="1:25" x14ac:dyDescent="0.25">
      <c r="A245" s="606">
        <f t="shared" si="14"/>
        <v>241</v>
      </c>
      <c r="B245" s="617">
        <f t="shared" si="12"/>
        <v>28390.25</v>
      </c>
      <c r="C245" s="618" t="str">
        <f t="shared" si="15"/>
        <v>/</v>
      </c>
      <c r="D245" s="617">
        <f t="shared" si="13"/>
        <v>29398.25</v>
      </c>
      <c r="E245" s="638">
        <f>E243+1</f>
        <v>121</v>
      </c>
      <c r="F245" s="618">
        <f>28500.5-955.5+7*E245</f>
        <v>28392</v>
      </c>
      <c r="G245" s="620" t="s">
        <v>106</v>
      </c>
      <c r="H245" s="621">
        <f>28500.5+52.5+7*E245</f>
        <v>29400</v>
      </c>
      <c r="I245" s="619"/>
      <c r="J245" s="618"/>
      <c r="K245" s="618"/>
      <c r="L245" s="622"/>
      <c r="M245" s="619"/>
      <c r="N245" s="618"/>
      <c r="O245" s="618"/>
      <c r="P245" s="622"/>
      <c r="Q245" s="619"/>
      <c r="R245" s="623"/>
      <c r="S245" s="624"/>
      <c r="T245" s="622"/>
      <c r="U245" s="619"/>
      <c r="V245" s="624"/>
      <c r="W245" s="624"/>
      <c r="X245" s="622"/>
      <c r="Y245" s="649"/>
    </row>
    <row r="246" spans="1:25" x14ac:dyDescent="0.25">
      <c r="A246" s="606">
        <f t="shared" si="14"/>
        <v>242</v>
      </c>
      <c r="B246" s="617">
        <f t="shared" si="12"/>
        <v>28393.75</v>
      </c>
      <c r="C246" s="618" t="str">
        <f t="shared" si="15"/>
        <v>/</v>
      </c>
      <c r="D246" s="617">
        <f t="shared" si="13"/>
        <v>29401.75</v>
      </c>
      <c r="E246" s="638"/>
      <c r="F246" s="618"/>
      <c r="G246" s="620"/>
      <c r="H246" s="622"/>
      <c r="I246" s="619">
        <f>I242+1</f>
        <v>61</v>
      </c>
      <c r="J246" s="618">
        <f>28500.5-959+14*I246</f>
        <v>28395.5</v>
      </c>
      <c r="K246" s="620" t="s">
        <v>106</v>
      </c>
      <c r="L246" s="621">
        <f>28500.5+49+14*I246</f>
        <v>29403.5</v>
      </c>
      <c r="M246" s="619"/>
      <c r="N246" s="618"/>
      <c r="O246" s="618"/>
      <c r="P246" s="622"/>
      <c r="Q246" s="619"/>
      <c r="R246" s="623"/>
      <c r="S246" s="624"/>
      <c r="T246" s="622"/>
      <c r="U246" s="619"/>
      <c r="V246" s="624"/>
      <c r="W246" s="624"/>
      <c r="X246" s="622"/>
      <c r="Y246" s="650"/>
    </row>
    <row r="247" spans="1:25" x14ac:dyDescent="0.25">
      <c r="A247" s="606">
        <f t="shared" si="14"/>
        <v>243</v>
      </c>
      <c r="B247" s="617">
        <f t="shared" si="12"/>
        <v>28397.25</v>
      </c>
      <c r="C247" s="618" t="str">
        <f t="shared" si="15"/>
        <v>/</v>
      </c>
      <c r="D247" s="617">
        <f t="shared" si="13"/>
        <v>29405.25</v>
      </c>
      <c r="E247" s="638">
        <f>E245+1</f>
        <v>122</v>
      </c>
      <c r="F247" s="618">
        <f>28500.5-955.5+7*E247</f>
        <v>28399</v>
      </c>
      <c r="G247" s="620" t="s">
        <v>106</v>
      </c>
      <c r="H247" s="621">
        <f>28500.5+52.5+7*E247</f>
        <v>29407</v>
      </c>
      <c r="I247" s="619"/>
      <c r="J247" s="618"/>
      <c r="K247" s="618"/>
      <c r="L247" s="621"/>
      <c r="M247" s="619"/>
      <c r="N247" s="618"/>
      <c r="O247" s="618"/>
      <c r="P247" s="622"/>
      <c r="Q247" s="619"/>
      <c r="R247" s="623"/>
      <c r="S247" s="624"/>
      <c r="T247" s="622"/>
      <c r="U247" s="619"/>
      <c r="V247" s="624"/>
      <c r="W247" s="624"/>
      <c r="X247" s="622"/>
      <c r="Y247" s="636"/>
    </row>
    <row r="248" spans="1:25" x14ac:dyDescent="0.25">
      <c r="A248" s="606">
        <f t="shared" si="14"/>
        <v>244</v>
      </c>
      <c r="B248" s="617">
        <f t="shared" si="12"/>
        <v>28400.75</v>
      </c>
      <c r="C248" s="618" t="str">
        <f t="shared" si="15"/>
        <v>/</v>
      </c>
      <c r="D248" s="617">
        <f t="shared" si="13"/>
        <v>29408.75</v>
      </c>
      <c r="E248" s="638"/>
      <c r="F248" s="618"/>
      <c r="G248" s="620"/>
      <c r="H248" s="622"/>
      <c r="I248" s="619"/>
      <c r="J248" s="618"/>
      <c r="K248" s="618"/>
      <c r="L248" s="622"/>
      <c r="M248" s="619">
        <f>M240+1</f>
        <v>31</v>
      </c>
      <c r="N248" s="618">
        <f>28500.5-966+28*M248</f>
        <v>28402.5</v>
      </c>
      <c r="O248" s="620" t="s">
        <v>106</v>
      </c>
      <c r="P248" s="621">
        <f>28500.5+42+28*M248</f>
        <v>29410.5</v>
      </c>
      <c r="Q248" s="619"/>
      <c r="R248" s="627"/>
      <c r="S248" s="620"/>
      <c r="T248" s="621"/>
      <c r="U248" s="619"/>
      <c r="V248" s="624"/>
      <c r="W248" s="624"/>
      <c r="X248" s="622"/>
      <c r="Y248" s="636"/>
    </row>
    <row r="249" spans="1:25" x14ac:dyDescent="0.25">
      <c r="A249" s="606">
        <f t="shared" si="14"/>
        <v>245</v>
      </c>
      <c r="B249" s="617">
        <f t="shared" si="12"/>
        <v>28404.25</v>
      </c>
      <c r="C249" s="618" t="str">
        <f t="shared" si="15"/>
        <v>/</v>
      </c>
      <c r="D249" s="617">
        <f t="shared" si="13"/>
        <v>29412.25</v>
      </c>
      <c r="E249" s="638">
        <f>E247+1</f>
        <v>123</v>
      </c>
      <c r="F249" s="618">
        <f>28500.5-955.5+7*E249</f>
        <v>28406</v>
      </c>
      <c r="G249" s="620" t="s">
        <v>106</v>
      </c>
      <c r="H249" s="621">
        <f>28500.5+52.5+7*E249</f>
        <v>29414</v>
      </c>
      <c r="I249" s="619"/>
      <c r="J249" s="618"/>
      <c r="K249" s="618"/>
      <c r="L249" s="622"/>
      <c r="M249" s="619"/>
      <c r="N249" s="618"/>
      <c r="O249" s="618"/>
      <c r="P249" s="622"/>
      <c r="Q249" s="619"/>
      <c r="R249" s="623"/>
      <c r="S249" s="624"/>
      <c r="T249" s="622"/>
      <c r="U249" s="619"/>
      <c r="V249" s="624"/>
      <c r="W249" s="624"/>
      <c r="X249" s="622"/>
      <c r="Y249" s="636"/>
    </row>
    <row r="250" spans="1:25" x14ac:dyDescent="0.25">
      <c r="A250" s="606">
        <f t="shared" si="14"/>
        <v>246</v>
      </c>
      <c r="B250" s="617">
        <f t="shared" si="12"/>
        <v>28407.75</v>
      </c>
      <c r="C250" s="618" t="str">
        <f t="shared" si="15"/>
        <v>/</v>
      </c>
      <c r="D250" s="617">
        <f t="shared" si="13"/>
        <v>29415.75</v>
      </c>
      <c r="E250" s="638"/>
      <c r="F250" s="618"/>
      <c r="G250" s="620"/>
      <c r="H250" s="622"/>
      <c r="I250" s="619">
        <f>I246+1</f>
        <v>62</v>
      </c>
      <c r="J250" s="618">
        <f>28500.5-959+14*I250</f>
        <v>28409.5</v>
      </c>
      <c r="K250" s="620" t="s">
        <v>106</v>
      </c>
      <c r="L250" s="621">
        <f>28500.5+49+14*I250</f>
        <v>29417.5</v>
      </c>
      <c r="M250" s="619"/>
      <c r="N250" s="618"/>
      <c r="O250" s="618"/>
      <c r="P250" s="622"/>
      <c r="Q250" s="619"/>
      <c r="R250" s="623"/>
      <c r="S250" s="624"/>
      <c r="T250" s="622"/>
      <c r="U250" s="619"/>
      <c r="V250" s="624"/>
      <c r="W250" s="624"/>
      <c r="X250" s="622"/>
      <c r="Y250" s="636"/>
    </row>
    <row r="251" spans="1:25" x14ac:dyDescent="0.25">
      <c r="A251" s="606">
        <f t="shared" si="14"/>
        <v>247</v>
      </c>
      <c r="B251" s="617">
        <f t="shared" si="12"/>
        <v>28411.25</v>
      </c>
      <c r="C251" s="618" t="str">
        <f t="shared" si="15"/>
        <v>/</v>
      </c>
      <c r="D251" s="617">
        <f t="shared" si="13"/>
        <v>29419.25</v>
      </c>
      <c r="E251" s="638">
        <f>E249+1</f>
        <v>124</v>
      </c>
      <c r="F251" s="618">
        <f>28500.5-955.5+7*E251</f>
        <v>28413</v>
      </c>
      <c r="G251" s="620" t="s">
        <v>106</v>
      </c>
      <c r="H251" s="621">
        <f>28500.5+52.5+7*E251</f>
        <v>29421</v>
      </c>
      <c r="I251" s="619"/>
      <c r="J251" s="618"/>
      <c r="K251" s="618"/>
      <c r="L251" s="621"/>
      <c r="M251" s="619"/>
      <c r="N251" s="618"/>
      <c r="O251" s="618"/>
      <c r="P251" s="622"/>
      <c r="Q251" s="619"/>
      <c r="R251" s="623"/>
      <c r="S251" s="624"/>
      <c r="T251" s="622"/>
      <c r="U251" s="619"/>
      <c r="V251" s="624"/>
      <c r="W251" s="624"/>
      <c r="X251" s="622"/>
      <c r="Y251" s="636"/>
    </row>
    <row r="252" spans="1:25" x14ac:dyDescent="0.25">
      <c r="A252" s="606">
        <f t="shared" si="14"/>
        <v>248</v>
      </c>
      <c r="B252" s="617">
        <f t="shared" si="12"/>
        <v>28414.75</v>
      </c>
      <c r="C252" s="618" t="str">
        <f t="shared" si="15"/>
        <v>/</v>
      </c>
      <c r="D252" s="617">
        <f t="shared" si="13"/>
        <v>29422.75</v>
      </c>
      <c r="E252" s="638"/>
      <c r="F252" s="618"/>
      <c r="G252" s="620"/>
      <c r="H252" s="622"/>
      <c r="I252" s="619"/>
      <c r="J252" s="618"/>
      <c r="K252" s="618"/>
      <c r="L252" s="622"/>
      <c r="M252" s="619"/>
      <c r="N252" s="618"/>
      <c r="O252" s="618"/>
      <c r="P252" s="622"/>
      <c r="Q252" s="619">
        <f>Q236+1</f>
        <v>16</v>
      </c>
      <c r="R252" s="627">
        <f>28500.5-980+56*Q252</f>
        <v>28416.5</v>
      </c>
      <c r="S252" s="620" t="s">
        <v>106</v>
      </c>
      <c r="T252" s="621">
        <f>28500.5+28+56*Q252</f>
        <v>29424.5</v>
      </c>
      <c r="U252" s="619"/>
      <c r="V252" s="624"/>
      <c r="W252" s="624"/>
      <c r="X252" s="622"/>
      <c r="Y252" s="636"/>
    </row>
    <row r="253" spans="1:25" x14ac:dyDescent="0.25">
      <c r="A253" s="606">
        <f t="shared" si="14"/>
        <v>249</v>
      </c>
      <c r="B253" s="617">
        <f t="shared" si="12"/>
        <v>28418.25</v>
      </c>
      <c r="C253" s="618" t="str">
        <f t="shared" si="15"/>
        <v>/</v>
      </c>
      <c r="D253" s="617">
        <f t="shared" si="13"/>
        <v>29426.25</v>
      </c>
      <c r="E253" s="638">
        <f>E251+1</f>
        <v>125</v>
      </c>
      <c r="F253" s="618">
        <f>28500.5-955.5+7*E253</f>
        <v>28420</v>
      </c>
      <c r="G253" s="620" t="s">
        <v>106</v>
      </c>
      <c r="H253" s="621">
        <f>28500.5+52.5+7*E253</f>
        <v>29428</v>
      </c>
      <c r="I253" s="619"/>
      <c r="J253" s="618"/>
      <c r="K253" s="618"/>
      <c r="L253" s="622"/>
      <c r="M253" s="619"/>
      <c r="N253" s="618"/>
      <c r="O253" s="618"/>
      <c r="P253" s="622"/>
      <c r="Q253" s="619"/>
      <c r="R253" s="623"/>
      <c r="S253" s="624"/>
      <c r="T253" s="622"/>
      <c r="U253" s="619"/>
      <c r="V253" s="624"/>
      <c r="W253" s="624"/>
      <c r="X253" s="622"/>
      <c r="Y253" s="636"/>
    </row>
    <row r="254" spans="1:25" x14ac:dyDescent="0.25">
      <c r="A254" s="606">
        <f t="shared" si="14"/>
        <v>250</v>
      </c>
      <c r="B254" s="617">
        <f t="shared" si="12"/>
        <v>28421.75</v>
      </c>
      <c r="C254" s="618" t="str">
        <f t="shared" si="15"/>
        <v>/</v>
      </c>
      <c r="D254" s="617">
        <f t="shared" si="13"/>
        <v>29429.75</v>
      </c>
      <c r="E254" s="638"/>
      <c r="F254" s="618"/>
      <c r="G254" s="620"/>
      <c r="H254" s="622"/>
      <c r="I254" s="619">
        <f>I250+1</f>
        <v>63</v>
      </c>
      <c r="J254" s="618">
        <f>28500.5-959+14*I254</f>
        <v>28423.5</v>
      </c>
      <c r="K254" s="620" t="s">
        <v>106</v>
      </c>
      <c r="L254" s="621">
        <f>28500.5+49+14*I254</f>
        <v>29431.5</v>
      </c>
      <c r="M254" s="619"/>
      <c r="N254" s="618"/>
      <c r="O254" s="618"/>
      <c r="P254" s="622"/>
      <c r="Q254" s="619"/>
      <c r="R254" s="623"/>
      <c r="S254" s="624"/>
      <c r="T254" s="622"/>
      <c r="U254" s="619"/>
      <c r="V254" s="624"/>
      <c r="W254" s="624"/>
      <c r="X254" s="622"/>
      <c r="Y254" s="636"/>
    </row>
    <row r="255" spans="1:25" x14ac:dyDescent="0.25">
      <c r="A255" s="606">
        <f t="shared" si="14"/>
        <v>251</v>
      </c>
      <c r="B255" s="617">
        <f t="shared" si="12"/>
        <v>28425.25</v>
      </c>
      <c r="C255" s="618" t="str">
        <f t="shared" si="15"/>
        <v>/</v>
      </c>
      <c r="D255" s="617">
        <f t="shared" si="13"/>
        <v>29433.25</v>
      </c>
      <c r="E255" s="638">
        <f>E253+1</f>
        <v>126</v>
      </c>
      <c r="F255" s="618">
        <f>28500.5-955.5+7*E255</f>
        <v>28427</v>
      </c>
      <c r="G255" s="620" t="s">
        <v>106</v>
      </c>
      <c r="H255" s="621">
        <f>28500.5+52.5+7*E255</f>
        <v>29435</v>
      </c>
      <c r="I255" s="619"/>
      <c r="J255" s="618"/>
      <c r="K255" s="618"/>
      <c r="L255" s="621"/>
      <c r="M255" s="619"/>
      <c r="N255" s="618"/>
      <c r="O255" s="618"/>
      <c r="P255" s="622"/>
      <c r="Q255" s="619"/>
      <c r="R255" s="623"/>
      <c r="S255" s="624"/>
      <c r="T255" s="622"/>
      <c r="U255" s="619"/>
      <c r="V255" s="624"/>
      <c r="W255" s="624"/>
      <c r="X255" s="622"/>
      <c r="Y255" s="636"/>
    </row>
    <row r="256" spans="1:25" x14ac:dyDescent="0.25">
      <c r="A256" s="606">
        <f t="shared" si="14"/>
        <v>252</v>
      </c>
      <c r="B256" s="617">
        <f t="shared" si="12"/>
        <v>28428.75</v>
      </c>
      <c r="C256" s="618" t="str">
        <f t="shared" si="15"/>
        <v>/</v>
      </c>
      <c r="D256" s="617">
        <f t="shared" si="13"/>
        <v>29436.75</v>
      </c>
      <c r="E256" s="638"/>
      <c r="F256" s="618"/>
      <c r="G256" s="620"/>
      <c r="H256" s="622"/>
      <c r="I256" s="619"/>
      <c r="J256" s="618"/>
      <c r="K256" s="618"/>
      <c r="L256" s="622"/>
      <c r="M256" s="619">
        <f>M248+1</f>
        <v>32</v>
      </c>
      <c r="N256" s="618">
        <f>28500.5-966+28*M256</f>
        <v>28430.5</v>
      </c>
      <c r="O256" s="620" t="s">
        <v>106</v>
      </c>
      <c r="P256" s="621">
        <f>28500.5+42+28*M256</f>
        <v>29438.5</v>
      </c>
      <c r="Q256" s="619"/>
      <c r="R256" s="623"/>
      <c r="S256" s="624"/>
      <c r="T256" s="622"/>
      <c r="U256" s="619"/>
      <c r="V256" s="624"/>
      <c r="W256" s="624"/>
      <c r="X256" s="622"/>
      <c r="Y256" s="636"/>
    </row>
    <row r="257" spans="1:25" x14ac:dyDescent="0.25">
      <c r="A257" s="606">
        <f t="shared" si="14"/>
        <v>253</v>
      </c>
      <c r="B257" s="617">
        <f t="shared" si="12"/>
        <v>28432.25</v>
      </c>
      <c r="C257" s="618" t="str">
        <f t="shared" si="15"/>
        <v>/</v>
      </c>
      <c r="D257" s="617">
        <f t="shared" si="13"/>
        <v>29440.25</v>
      </c>
      <c r="E257" s="638">
        <f>E255+1</f>
        <v>127</v>
      </c>
      <c r="F257" s="618">
        <f>28500.5-955.5+7*E257</f>
        <v>28434</v>
      </c>
      <c r="G257" s="620" t="s">
        <v>106</v>
      </c>
      <c r="H257" s="621">
        <f>28500.5+52.5+7*E257</f>
        <v>29442</v>
      </c>
      <c r="I257" s="619"/>
      <c r="J257" s="618"/>
      <c r="K257" s="618"/>
      <c r="L257" s="622"/>
      <c r="M257" s="619"/>
      <c r="N257" s="618"/>
      <c r="O257" s="618"/>
      <c r="P257" s="622"/>
      <c r="Q257" s="619"/>
      <c r="R257" s="623"/>
      <c r="S257" s="624"/>
      <c r="T257" s="622"/>
      <c r="U257" s="619"/>
      <c r="V257" s="624"/>
      <c r="W257" s="624"/>
      <c r="X257" s="622"/>
      <c r="Y257" s="636"/>
    </row>
    <row r="258" spans="1:25" x14ac:dyDescent="0.25">
      <c r="A258" s="606">
        <f t="shared" si="14"/>
        <v>254</v>
      </c>
      <c r="B258" s="617">
        <f t="shared" si="12"/>
        <v>28435.75</v>
      </c>
      <c r="C258" s="618" t="str">
        <f t="shared" si="15"/>
        <v>/</v>
      </c>
      <c r="D258" s="617">
        <f t="shared" si="13"/>
        <v>29443.75</v>
      </c>
      <c r="E258" s="638"/>
      <c r="F258" s="618"/>
      <c r="G258" s="620"/>
      <c r="H258" s="622"/>
      <c r="I258" s="619">
        <f>I254+1</f>
        <v>64</v>
      </c>
      <c r="J258" s="618">
        <f>28500.5-959+14*I258</f>
        <v>28437.5</v>
      </c>
      <c r="K258" s="618"/>
      <c r="L258" s="621">
        <f>28500.5+49+14*I258</f>
        <v>29445.5</v>
      </c>
      <c r="M258" s="619"/>
      <c r="N258" s="618"/>
      <c r="O258" s="618"/>
      <c r="P258" s="622"/>
      <c r="Q258" s="619"/>
      <c r="R258" s="623"/>
      <c r="S258" s="624"/>
      <c r="T258" s="622"/>
      <c r="U258" s="619"/>
      <c r="V258" s="624"/>
      <c r="W258" s="624"/>
      <c r="X258" s="622"/>
      <c r="Y258" s="636"/>
    </row>
    <row r="259" spans="1:25" x14ac:dyDescent="0.25">
      <c r="A259" s="606">
        <f t="shared" si="14"/>
        <v>255</v>
      </c>
      <c r="B259" s="617">
        <f t="shared" si="12"/>
        <v>28439.25</v>
      </c>
      <c r="C259" s="618" t="str">
        <f t="shared" si="15"/>
        <v>/</v>
      </c>
      <c r="D259" s="617">
        <f t="shared" si="13"/>
        <v>29447.25</v>
      </c>
      <c r="E259" s="638">
        <f>E257+1</f>
        <v>128</v>
      </c>
      <c r="F259" s="618">
        <f>28500.5-955.5+7*E259</f>
        <v>28441</v>
      </c>
      <c r="G259" s="620" t="s">
        <v>106</v>
      </c>
      <c r="H259" s="621">
        <f>28500.5+52.5+7*E259</f>
        <v>29449</v>
      </c>
      <c r="I259" s="619"/>
      <c r="J259" s="618"/>
      <c r="K259" s="618"/>
      <c r="L259" s="621"/>
      <c r="M259" s="619"/>
      <c r="N259" s="618"/>
      <c r="O259" s="618"/>
      <c r="P259" s="622"/>
      <c r="Q259" s="619"/>
      <c r="R259" s="623"/>
      <c r="S259" s="624"/>
      <c r="T259" s="622"/>
      <c r="U259" s="619"/>
      <c r="V259" s="624"/>
      <c r="W259" s="624"/>
      <c r="X259" s="622"/>
      <c r="Y259" s="636"/>
    </row>
    <row r="260" spans="1:25" x14ac:dyDescent="0.25">
      <c r="A260" s="642">
        <f t="shared" si="14"/>
        <v>256</v>
      </c>
      <c r="B260" s="617">
        <f t="shared" si="12"/>
        <v>28442.75</v>
      </c>
      <c r="C260" s="643" t="str">
        <f t="shared" si="15"/>
        <v>/</v>
      </c>
      <c r="D260" s="617">
        <f t="shared" si="13"/>
        <v>29450.75</v>
      </c>
      <c r="E260" s="639"/>
      <c r="F260" s="618"/>
      <c r="G260" s="644"/>
      <c r="H260" s="622"/>
      <c r="I260" s="645"/>
      <c r="J260" s="618"/>
      <c r="K260" s="643"/>
      <c r="L260" s="622"/>
      <c r="M260" s="645"/>
      <c r="N260" s="618"/>
      <c r="O260" s="643"/>
      <c r="P260" s="622"/>
      <c r="Q260" s="645"/>
      <c r="R260" s="646"/>
      <c r="S260" s="647"/>
      <c r="T260" s="648"/>
      <c r="U260" s="645"/>
      <c r="V260" s="647"/>
      <c r="W260" s="647"/>
      <c r="X260" s="648"/>
      <c r="Y260" s="651"/>
    </row>
    <row r="261" spans="1:25" x14ac:dyDescent="0.25">
      <c r="A261" s="58"/>
      <c r="B261" s="272"/>
      <c r="C261" s="272"/>
      <c r="D261" s="273">
        <v>29452.5</v>
      </c>
      <c r="E261" s="117"/>
      <c r="F261" s="272"/>
      <c r="G261" s="272"/>
      <c r="H261" s="273">
        <v>29452.5</v>
      </c>
      <c r="I261" s="117"/>
      <c r="J261" s="272"/>
      <c r="K261" s="272"/>
      <c r="L261" s="273">
        <v>29452.5</v>
      </c>
      <c r="M261" s="117"/>
      <c r="N261" s="272"/>
      <c r="O261" s="272"/>
      <c r="P261" s="273">
        <v>29452.5</v>
      </c>
      <c r="Q261" s="274"/>
      <c r="R261" s="275"/>
      <c r="S261" s="276"/>
      <c r="T261" s="277">
        <v>29452.5</v>
      </c>
      <c r="U261" s="117"/>
      <c r="V261" s="249"/>
      <c r="W261" s="249"/>
      <c r="X261" s="273">
        <v>29452.5</v>
      </c>
      <c r="Y261" s="278"/>
    </row>
    <row r="262" spans="1:25" x14ac:dyDescent="0.25">
      <c r="A262" s="279"/>
      <c r="B262" s="280">
        <v>28444.5</v>
      </c>
      <c r="C262" s="280"/>
      <c r="D262" s="281">
        <v>29500</v>
      </c>
      <c r="E262" s="282"/>
      <c r="F262" s="280">
        <v>28444.5</v>
      </c>
      <c r="G262" s="280"/>
      <c r="H262" s="281">
        <v>29500</v>
      </c>
      <c r="I262" s="282"/>
      <c r="J262" s="280">
        <v>28444.5</v>
      </c>
      <c r="K262" s="280"/>
      <c r="L262" s="281">
        <v>29500</v>
      </c>
      <c r="M262" s="282"/>
      <c r="N262" s="280">
        <v>28444.5</v>
      </c>
      <c r="O262" s="280"/>
      <c r="P262" s="281">
        <v>29500</v>
      </c>
      <c r="Q262" s="282"/>
      <c r="R262" s="283">
        <v>28444.5</v>
      </c>
      <c r="S262" s="280"/>
      <c r="T262" s="281">
        <v>29500</v>
      </c>
      <c r="U262" s="282"/>
      <c r="V262" s="280">
        <v>28444.5</v>
      </c>
      <c r="W262" s="284"/>
      <c r="X262" s="281">
        <v>29500</v>
      </c>
      <c r="Y262" s="285" t="s">
        <v>188</v>
      </c>
    </row>
    <row r="263" spans="1:25" x14ac:dyDescent="0.25">
      <c r="A263" s="51"/>
      <c r="B263" s="51"/>
      <c r="C263" s="51"/>
      <c r="D263" s="51"/>
      <c r="E263" s="50"/>
      <c r="F263" s="51"/>
      <c r="G263" s="50"/>
      <c r="H263" s="49"/>
      <c r="I263" s="50"/>
      <c r="J263" s="51"/>
      <c r="K263" s="51"/>
      <c r="L263" s="49"/>
      <c r="M263" s="50"/>
      <c r="N263" s="58"/>
      <c r="O263" s="51"/>
      <c r="P263" s="247"/>
      <c r="Q263" s="50"/>
      <c r="R263" s="49"/>
      <c r="S263" s="49"/>
      <c r="T263" s="49"/>
      <c r="U263" s="50"/>
      <c r="V263" s="49"/>
      <c r="W263" s="49"/>
      <c r="X263" s="49"/>
      <c r="Y263" s="51"/>
    </row>
    <row r="264" spans="1:25" x14ac:dyDescent="0.25">
      <c r="Y264" t="s">
        <v>214</v>
      </c>
    </row>
  </sheetData>
  <hyperlinks>
    <hyperlink ref="E1" location="'Oversikt'!A1" display="Oversikt" xr:uid="{F6A90E36-2250-424A-979D-85E46A8053D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0D24-2FBD-4C5A-94B5-3B392BEDD468}">
  <sheetPr codeName="Ark16">
    <tabColor theme="8" tint="-0.249977111117893"/>
  </sheetPr>
  <dimension ref="A1:Y227"/>
  <sheetViews>
    <sheetView zoomScale="80" zoomScaleNormal="80" workbookViewId="0">
      <pane ySplit="8" topLeftCell="A9" activePane="bottomLeft" state="frozenSplit"/>
      <selection pane="bottomLeft" activeCell="L1" sqref="L1"/>
    </sheetView>
  </sheetViews>
  <sheetFormatPr baseColWidth="10" defaultColWidth="11.42578125" defaultRowHeight="15" x14ac:dyDescent="0.25"/>
  <cols>
    <col min="25" max="25" width="34.42578125" bestFit="1" customWidth="1"/>
  </cols>
  <sheetData>
    <row r="1" spans="1:25" ht="18.75" x14ac:dyDescent="0.3">
      <c r="A1" s="1" t="s">
        <v>215</v>
      </c>
      <c r="B1" s="2"/>
      <c r="E1" s="3"/>
      <c r="G1" s="4"/>
      <c r="H1" s="5"/>
      <c r="I1" s="4"/>
      <c r="J1" s="2"/>
      <c r="K1" s="6"/>
      <c r="L1" s="800" t="s">
        <v>50</v>
      </c>
      <c r="M1" s="3"/>
      <c r="P1" s="7"/>
      <c r="Q1" s="3"/>
      <c r="R1" s="7"/>
      <c r="S1" s="7"/>
      <c r="T1" s="7"/>
      <c r="U1" s="3"/>
      <c r="V1" s="7"/>
      <c r="W1" s="7"/>
      <c r="X1" s="7"/>
    </row>
    <row r="2" spans="1:25" x14ac:dyDescent="0.25">
      <c r="E2" s="3"/>
      <c r="G2" s="3"/>
      <c r="H2" s="7"/>
      <c r="I2" s="3"/>
      <c r="L2" s="7"/>
      <c r="M2" s="3"/>
      <c r="P2" s="7"/>
      <c r="Q2" s="3"/>
      <c r="R2" s="7"/>
      <c r="S2" s="7"/>
      <c r="T2" s="7"/>
      <c r="U2" s="3"/>
      <c r="V2" s="7"/>
      <c r="W2" s="7"/>
      <c r="X2" s="7"/>
    </row>
    <row r="3" spans="1:25" ht="15.75" x14ac:dyDescent="0.25">
      <c r="A3" s="152"/>
      <c r="B3" s="51" t="s">
        <v>216</v>
      </c>
      <c r="E3" s="3"/>
      <c r="G3" s="3"/>
      <c r="H3" s="7"/>
      <c r="I3" s="3"/>
      <c r="L3" s="7"/>
      <c r="M3" s="3"/>
      <c r="P3" s="7"/>
      <c r="Q3" s="3"/>
      <c r="R3" s="7"/>
      <c r="S3" s="7"/>
      <c r="T3" s="7"/>
      <c r="U3" s="3"/>
      <c r="V3" s="7"/>
      <c r="W3" s="7"/>
      <c r="X3" s="7"/>
    </row>
    <row r="4" spans="1:25" ht="15.75" x14ac:dyDescent="0.25">
      <c r="A4" s="9"/>
      <c r="B4" s="51" t="s">
        <v>217</v>
      </c>
      <c r="E4" s="3"/>
      <c r="G4" s="3"/>
      <c r="H4" s="7"/>
      <c r="I4" s="3"/>
      <c r="L4" s="7"/>
      <c r="M4" s="3"/>
      <c r="P4" s="7"/>
      <c r="Q4" s="3"/>
      <c r="R4" s="7"/>
      <c r="S4" s="7"/>
      <c r="T4" s="7"/>
      <c r="U4" s="3"/>
      <c r="V4" s="7"/>
      <c r="W4" s="7"/>
      <c r="X4" s="7"/>
    </row>
    <row r="5" spans="1:25" ht="15.75" thickBot="1" x14ac:dyDescent="0.3">
      <c r="B5" t="s">
        <v>218</v>
      </c>
      <c r="E5" s="3"/>
      <c r="G5" s="3"/>
      <c r="H5" s="7"/>
      <c r="I5" s="3"/>
      <c r="L5" s="7"/>
      <c r="M5" s="3"/>
      <c r="P5" s="7"/>
      <c r="Q5" s="3"/>
      <c r="R5" s="7"/>
      <c r="S5" s="7"/>
      <c r="T5" s="7"/>
      <c r="U5" s="3"/>
      <c r="V5" s="7"/>
      <c r="W5" s="7"/>
      <c r="X5" s="7"/>
    </row>
    <row r="6" spans="1:25" ht="16.5" thickTop="1" thickBot="1" x14ac:dyDescent="0.3">
      <c r="A6" s="153"/>
      <c r="B6" s="286" t="s">
        <v>109</v>
      </c>
      <c r="C6" s="287"/>
      <c r="D6" s="288"/>
      <c r="E6" s="289"/>
      <c r="F6" s="286" t="s">
        <v>110</v>
      </c>
      <c r="G6" s="290"/>
      <c r="H6" s="291"/>
      <c r="I6" s="289"/>
      <c r="J6" s="286" t="s">
        <v>111</v>
      </c>
      <c r="K6" s="287"/>
      <c r="L6" s="291"/>
      <c r="M6" s="289"/>
      <c r="N6" s="286" t="s">
        <v>185</v>
      </c>
      <c r="O6" s="287"/>
      <c r="P6" s="291"/>
      <c r="Q6" s="289"/>
      <c r="R6" s="292" t="s">
        <v>186</v>
      </c>
      <c r="S6" s="293"/>
      <c r="T6" s="291"/>
      <c r="U6" s="289"/>
      <c r="V6" s="292" t="s">
        <v>187</v>
      </c>
      <c r="W6" s="293"/>
      <c r="X6" s="293"/>
      <c r="Y6" s="162" t="s">
        <v>105</v>
      </c>
    </row>
    <row r="7" spans="1:25" ht="15.75" thickTop="1" x14ac:dyDescent="0.25">
      <c r="A7" s="232"/>
      <c r="B7" s="294">
        <v>31800</v>
      </c>
      <c r="C7" s="295"/>
      <c r="D7" s="296"/>
      <c r="E7" s="297"/>
      <c r="F7" s="294">
        <v>31800</v>
      </c>
      <c r="G7" s="295"/>
      <c r="H7" s="296"/>
      <c r="I7" s="297"/>
      <c r="J7" s="294">
        <v>31800</v>
      </c>
      <c r="K7" s="295"/>
      <c r="L7" s="296"/>
      <c r="M7" s="297"/>
      <c r="N7" s="294">
        <v>31800</v>
      </c>
      <c r="O7" s="295"/>
      <c r="P7" s="296"/>
      <c r="Q7" s="297"/>
      <c r="R7" s="294">
        <v>31800</v>
      </c>
      <c r="S7" s="295"/>
      <c r="T7" s="296"/>
      <c r="U7" s="297"/>
      <c r="V7" s="295">
        <v>31800</v>
      </c>
      <c r="W7" s="298"/>
      <c r="X7" s="295"/>
      <c r="Y7" s="299" t="s">
        <v>188</v>
      </c>
    </row>
    <row r="8" spans="1:25" ht="15.75" thickBot="1" x14ac:dyDescent="0.3">
      <c r="A8" s="232"/>
      <c r="B8" s="300">
        <v>31815</v>
      </c>
      <c r="C8" s="301"/>
      <c r="D8" s="302">
        <v>32627</v>
      </c>
      <c r="E8" s="236"/>
      <c r="F8" s="300">
        <v>31815</v>
      </c>
      <c r="G8" s="303"/>
      <c r="H8" s="302">
        <v>32627</v>
      </c>
      <c r="I8" s="236"/>
      <c r="J8" s="300">
        <v>31815</v>
      </c>
      <c r="K8" s="303"/>
      <c r="L8" s="302">
        <v>32627</v>
      </c>
      <c r="M8" s="236"/>
      <c r="N8" s="300">
        <v>31815</v>
      </c>
      <c r="O8" s="301"/>
      <c r="P8" s="302">
        <v>32627</v>
      </c>
      <c r="Q8" s="304"/>
      <c r="R8" s="305"/>
      <c r="S8" s="306"/>
      <c r="T8" s="307"/>
      <c r="U8" s="236"/>
      <c r="V8" s="305"/>
      <c r="W8" s="306"/>
      <c r="X8" s="308"/>
      <c r="Y8" s="309"/>
    </row>
    <row r="9" spans="1:25" x14ac:dyDescent="0.25">
      <c r="A9" s="244">
        <v>1</v>
      </c>
      <c r="B9" s="112">
        <f>32599-785.75+3.5*A9</f>
        <v>31816.75</v>
      </c>
      <c r="C9" s="112" t="s">
        <v>106</v>
      </c>
      <c r="D9" s="112">
        <f>32599+26.25+3.5*A9</f>
        <v>32628.75</v>
      </c>
      <c r="E9" s="245">
        <v>1</v>
      </c>
      <c r="F9" s="112">
        <f>32599-787.5+7*E9</f>
        <v>31818.5</v>
      </c>
      <c r="G9" s="55" t="s">
        <v>106</v>
      </c>
      <c r="H9" s="112">
        <f>32599+24.5+7*E9</f>
        <v>32630.5</v>
      </c>
      <c r="I9" s="245"/>
      <c r="J9" s="112"/>
      <c r="K9" s="58"/>
      <c r="L9" s="327"/>
      <c r="M9" s="245"/>
      <c r="N9" s="112"/>
      <c r="O9" s="58"/>
      <c r="P9" s="327"/>
      <c r="Q9" s="310"/>
      <c r="R9" s="311"/>
      <c r="S9" s="311"/>
      <c r="T9" s="312"/>
      <c r="U9" s="313"/>
      <c r="V9" s="311"/>
      <c r="W9" s="311"/>
      <c r="X9" s="311"/>
      <c r="Y9" s="345"/>
    </row>
    <row r="10" spans="1:25" x14ac:dyDescent="0.25">
      <c r="A10" s="189">
        <f>A9+1</f>
        <v>2</v>
      </c>
      <c r="B10" s="112">
        <f t="shared" ref="B10:B73" si="0">32599-785.75+3.5*A10</f>
        <v>31820.25</v>
      </c>
      <c r="C10" s="112" t="s">
        <v>106</v>
      </c>
      <c r="D10" s="112">
        <f t="shared" ref="D10:D73" si="1">32599+26.25+3.5*A10</f>
        <v>32632.25</v>
      </c>
      <c r="E10" s="245" t="s">
        <v>127</v>
      </c>
      <c r="F10" s="58"/>
      <c r="G10" s="55"/>
      <c r="H10" s="112"/>
      <c r="I10" s="245">
        <v>1</v>
      </c>
      <c r="J10" s="112">
        <f>32599-791+14*I10</f>
        <v>31822</v>
      </c>
      <c r="K10" s="55" t="s">
        <v>106</v>
      </c>
      <c r="L10" s="112">
        <f>32599+21+14*I10</f>
        <v>32634</v>
      </c>
      <c r="M10" s="245"/>
      <c r="N10" s="58"/>
      <c r="O10" s="58"/>
      <c r="P10" s="247"/>
      <c r="Q10" s="310"/>
      <c r="R10" s="311"/>
      <c r="S10" s="311"/>
      <c r="T10" s="312"/>
      <c r="U10" s="313"/>
      <c r="V10" s="311"/>
      <c r="W10" s="311"/>
      <c r="X10" s="311"/>
      <c r="Y10" s="202"/>
    </row>
    <row r="11" spans="1:25" x14ac:dyDescent="0.25">
      <c r="A11" s="189">
        <f t="shared" ref="A11:A74" si="2">A10+1</f>
        <v>3</v>
      </c>
      <c r="B11" s="112">
        <f t="shared" si="0"/>
        <v>31823.75</v>
      </c>
      <c r="C11" s="112" t="s">
        <v>106</v>
      </c>
      <c r="D11" s="112">
        <f t="shared" si="1"/>
        <v>32635.75</v>
      </c>
      <c r="E11" s="245">
        <f>E9+1</f>
        <v>2</v>
      </c>
      <c r="F11" s="112">
        <f>32599-787.5+7*E11</f>
        <v>31825.5</v>
      </c>
      <c r="G11" s="55" t="s">
        <v>106</v>
      </c>
      <c r="H11" s="112">
        <f t="shared" ref="H11:H73" si="3">32599+24.5+7*E11</f>
        <v>32637.5</v>
      </c>
      <c r="I11" s="245"/>
      <c r="J11" s="58"/>
      <c r="K11" s="55"/>
      <c r="L11" s="246"/>
      <c r="M11" s="245"/>
      <c r="N11" s="58"/>
      <c r="O11" s="58"/>
      <c r="P11" s="247"/>
      <c r="Q11" s="310"/>
      <c r="R11" s="311"/>
      <c r="S11" s="311"/>
      <c r="T11" s="312"/>
      <c r="U11" s="313"/>
      <c r="V11" s="314"/>
      <c r="W11" s="311"/>
      <c r="X11" s="311"/>
      <c r="Y11" s="202"/>
    </row>
    <row r="12" spans="1:25" x14ac:dyDescent="0.25">
      <c r="A12" s="189">
        <f t="shared" si="2"/>
        <v>4</v>
      </c>
      <c r="B12" s="112">
        <f t="shared" si="0"/>
        <v>31827.25</v>
      </c>
      <c r="C12" s="112" t="s">
        <v>106</v>
      </c>
      <c r="D12" s="112">
        <f t="shared" si="1"/>
        <v>32639.25</v>
      </c>
      <c r="E12" s="245" t="s">
        <v>127</v>
      </c>
      <c r="F12" s="58"/>
      <c r="G12" s="55"/>
      <c r="H12" s="112"/>
      <c r="I12" s="245"/>
      <c r="J12" s="58"/>
      <c r="K12" s="58"/>
      <c r="L12" s="247"/>
      <c r="M12" s="245">
        <v>1</v>
      </c>
      <c r="N12" s="112">
        <f>32599-798+28*M12</f>
        <v>31829</v>
      </c>
      <c r="O12" s="55" t="s">
        <v>106</v>
      </c>
      <c r="P12" s="246">
        <f>32599+14+28*M12</f>
        <v>32641</v>
      </c>
      <c r="Q12" s="310"/>
      <c r="R12" s="311"/>
      <c r="S12" s="311"/>
      <c r="T12" s="312"/>
      <c r="U12" s="313"/>
      <c r="V12" s="311"/>
      <c r="W12" s="311"/>
      <c r="X12" s="311"/>
      <c r="Y12" s="202"/>
    </row>
    <row r="13" spans="1:25" x14ac:dyDescent="0.25">
      <c r="A13" s="189">
        <f t="shared" si="2"/>
        <v>5</v>
      </c>
      <c r="B13" s="112">
        <f t="shared" si="0"/>
        <v>31830.75</v>
      </c>
      <c r="C13" s="112" t="s">
        <v>106</v>
      </c>
      <c r="D13" s="112">
        <f t="shared" si="1"/>
        <v>32642.75</v>
      </c>
      <c r="E13" s="245">
        <f>E11+1</f>
        <v>3</v>
      </c>
      <c r="F13" s="112">
        <f>32599-787.5+7*E13</f>
        <v>31832.5</v>
      </c>
      <c r="G13" s="55" t="s">
        <v>106</v>
      </c>
      <c r="H13" s="112">
        <f t="shared" si="3"/>
        <v>32644.5</v>
      </c>
      <c r="I13" s="245"/>
      <c r="J13" s="58"/>
      <c r="K13" s="58"/>
      <c r="L13" s="247"/>
      <c r="M13" s="245"/>
      <c r="N13" s="58"/>
      <c r="O13" s="58"/>
      <c r="P13" s="247"/>
      <c r="Q13" s="310"/>
      <c r="R13" s="311"/>
      <c r="S13" s="311"/>
      <c r="T13" s="312"/>
      <c r="U13" s="313"/>
      <c r="V13" s="311"/>
      <c r="W13" s="311"/>
      <c r="X13" s="311"/>
      <c r="Y13" s="202"/>
    </row>
    <row r="14" spans="1:25" x14ac:dyDescent="0.25">
      <c r="A14" s="189">
        <f t="shared" si="2"/>
        <v>6</v>
      </c>
      <c r="B14" s="112">
        <f t="shared" si="0"/>
        <v>31834.25</v>
      </c>
      <c r="C14" s="112" t="s">
        <v>106</v>
      </c>
      <c r="D14" s="112">
        <f t="shared" si="1"/>
        <v>32646.25</v>
      </c>
      <c r="E14" s="245" t="s">
        <v>127</v>
      </c>
      <c r="F14" s="58"/>
      <c r="G14" s="55"/>
      <c r="H14" s="112"/>
      <c r="I14" s="245">
        <f>I10+1</f>
        <v>2</v>
      </c>
      <c r="J14" s="112">
        <f>32599-791+14*I14</f>
        <v>31836</v>
      </c>
      <c r="K14" s="55" t="s">
        <v>106</v>
      </c>
      <c r="L14" s="112">
        <f>32599+21+14*I14</f>
        <v>32648</v>
      </c>
      <c r="M14" s="245"/>
      <c r="N14" s="58"/>
      <c r="O14" s="58"/>
      <c r="P14" s="247"/>
      <c r="Q14" s="310"/>
      <c r="R14" s="311"/>
      <c r="S14" s="311"/>
      <c r="T14" s="312"/>
      <c r="U14" s="313"/>
      <c r="V14" s="311"/>
      <c r="W14" s="311"/>
      <c r="X14" s="311"/>
      <c r="Y14" s="202"/>
    </row>
    <row r="15" spans="1:25" x14ac:dyDescent="0.25">
      <c r="A15" s="189">
        <f t="shared" si="2"/>
        <v>7</v>
      </c>
      <c r="B15" s="112">
        <f t="shared" si="0"/>
        <v>31837.75</v>
      </c>
      <c r="C15" s="112" t="s">
        <v>106</v>
      </c>
      <c r="D15" s="112">
        <f t="shared" si="1"/>
        <v>32649.75</v>
      </c>
      <c r="E15" s="245">
        <f>E13+1</f>
        <v>4</v>
      </c>
      <c r="F15" s="112">
        <f>32599-787.5+7*E15</f>
        <v>31839.5</v>
      </c>
      <c r="G15" s="55" t="s">
        <v>106</v>
      </c>
      <c r="H15" s="112">
        <f t="shared" si="3"/>
        <v>32651.5</v>
      </c>
      <c r="I15" s="245"/>
      <c r="J15" s="58"/>
      <c r="K15" s="55"/>
      <c r="L15" s="246"/>
      <c r="M15" s="245"/>
      <c r="N15" s="58"/>
      <c r="O15" s="58"/>
      <c r="P15" s="247"/>
      <c r="Q15" s="310"/>
      <c r="R15" s="311"/>
      <c r="S15" s="311"/>
      <c r="T15" s="312"/>
      <c r="U15" s="313"/>
      <c r="V15" s="311"/>
      <c r="W15" s="311"/>
      <c r="X15" s="311"/>
      <c r="Y15" s="202"/>
    </row>
    <row r="16" spans="1:25" x14ac:dyDescent="0.25">
      <c r="A16" s="189">
        <f t="shared" si="2"/>
        <v>8</v>
      </c>
      <c r="B16" s="112">
        <f t="shared" si="0"/>
        <v>31841.25</v>
      </c>
      <c r="C16" s="112" t="s">
        <v>106</v>
      </c>
      <c r="D16" s="112">
        <f t="shared" si="1"/>
        <v>32653.25</v>
      </c>
      <c r="E16" s="245" t="s">
        <v>127</v>
      </c>
      <c r="F16" s="58"/>
      <c r="G16" s="55"/>
      <c r="H16" s="112"/>
      <c r="I16" s="245"/>
      <c r="J16" s="58"/>
      <c r="K16" s="58"/>
      <c r="L16" s="247"/>
      <c r="M16" s="245"/>
      <c r="N16" s="58"/>
      <c r="O16" s="58"/>
      <c r="P16" s="247"/>
      <c r="Q16" s="310"/>
      <c r="R16" s="315"/>
      <c r="S16" s="316"/>
      <c r="T16" s="315"/>
      <c r="U16" s="313"/>
      <c r="V16" s="311"/>
      <c r="W16" s="311"/>
      <c r="X16" s="311"/>
      <c r="Y16" s="360" t="s">
        <v>219</v>
      </c>
    </row>
    <row r="17" spans="1:25" x14ac:dyDescent="0.25">
      <c r="A17" s="189">
        <f t="shared" si="2"/>
        <v>9</v>
      </c>
      <c r="B17" s="112">
        <f t="shared" si="0"/>
        <v>31844.75</v>
      </c>
      <c r="C17" s="112" t="s">
        <v>106</v>
      </c>
      <c r="D17" s="112">
        <f t="shared" si="1"/>
        <v>32656.75</v>
      </c>
      <c r="E17" s="245">
        <f>E15+1</f>
        <v>5</v>
      </c>
      <c r="F17" s="112">
        <f>32599-787.5+7*E17</f>
        <v>31846.5</v>
      </c>
      <c r="G17" s="55" t="s">
        <v>106</v>
      </c>
      <c r="H17" s="112">
        <f t="shared" si="3"/>
        <v>32658.5</v>
      </c>
      <c r="I17" s="245"/>
      <c r="J17" s="58"/>
      <c r="K17" s="58"/>
      <c r="L17" s="247"/>
      <c r="M17" s="245"/>
      <c r="N17" s="58"/>
      <c r="O17" s="58"/>
      <c r="P17" s="247"/>
      <c r="Q17" s="310"/>
      <c r="R17" s="311"/>
      <c r="S17" s="311"/>
      <c r="T17" s="312"/>
      <c r="U17" s="313"/>
      <c r="V17" s="311"/>
      <c r="W17" s="311"/>
      <c r="X17" s="311"/>
      <c r="Y17" s="202"/>
    </row>
    <row r="18" spans="1:25" x14ac:dyDescent="0.25">
      <c r="A18" s="189">
        <f t="shared" si="2"/>
        <v>10</v>
      </c>
      <c r="B18" s="112">
        <f t="shared" si="0"/>
        <v>31848.25</v>
      </c>
      <c r="C18" s="112" t="s">
        <v>106</v>
      </c>
      <c r="D18" s="112">
        <f t="shared" si="1"/>
        <v>32660.25</v>
      </c>
      <c r="E18" s="245" t="s">
        <v>127</v>
      </c>
      <c r="F18" s="58"/>
      <c r="G18" s="55"/>
      <c r="H18" s="112"/>
      <c r="I18" s="245">
        <f>I14+1</f>
        <v>3</v>
      </c>
      <c r="J18" s="112">
        <f>32599-791+14*I18</f>
        <v>31850</v>
      </c>
      <c r="K18" s="55" t="s">
        <v>106</v>
      </c>
      <c r="L18" s="112">
        <f>32599+21+14*I18</f>
        <v>32662</v>
      </c>
      <c r="M18" s="245"/>
      <c r="N18" s="58"/>
      <c r="O18" s="58"/>
      <c r="P18" s="247"/>
      <c r="Q18" s="310"/>
      <c r="R18" s="311"/>
      <c r="S18" s="311"/>
      <c r="T18" s="312"/>
      <c r="U18" s="313"/>
      <c r="V18" s="311"/>
      <c r="W18" s="311"/>
      <c r="X18" s="311"/>
      <c r="Y18" s="202"/>
    </row>
    <row r="19" spans="1:25" x14ac:dyDescent="0.25">
      <c r="A19" s="189">
        <f t="shared" si="2"/>
        <v>11</v>
      </c>
      <c r="B19" s="112">
        <f t="shared" si="0"/>
        <v>31851.75</v>
      </c>
      <c r="C19" s="112" t="s">
        <v>106</v>
      </c>
      <c r="D19" s="112">
        <f t="shared" si="1"/>
        <v>32663.75</v>
      </c>
      <c r="E19" s="245">
        <f>E17+1</f>
        <v>6</v>
      </c>
      <c r="F19" s="112">
        <f>32599-787.5+7*E19</f>
        <v>31853.5</v>
      </c>
      <c r="G19" s="55" t="s">
        <v>106</v>
      </c>
      <c r="H19" s="112">
        <f t="shared" si="3"/>
        <v>32665.5</v>
      </c>
      <c r="I19" s="245"/>
      <c r="J19" s="58"/>
      <c r="K19" s="55"/>
      <c r="L19" s="246"/>
      <c r="M19" s="245"/>
      <c r="N19" s="58"/>
      <c r="O19" s="58"/>
      <c r="P19" s="247"/>
      <c r="Q19" s="310"/>
      <c r="R19" s="314"/>
      <c r="S19" s="311"/>
      <c r="T19" s="317"/>
      <c r="U19" s="313"/>
      <c r="V19" s="311"/>
      <c r="W19" s="311"/>
      <c r="X19" s="311"/>
      <c r="Y19" s="202"/>
    </row>
    <row r="20" spans="1:25" x14ac:dyDescent="0.25">
      <c r="A20" s="189">
        <f t="shared" si="2"/>
        <v>12</v>
      </c>
      <c r="B20" s="112">
        <f t="shared" si="0"/>
        <v>31855.25</v>
      </c>
      <c r="C20" s="112" t="s">
        <v>106</v>
      </c>
      <c r="D20" s="112">
        <f t="shared" si="1"/>
        <v>32667.25</v>
      </c>
      <c r="E20" s="245" t="s">
        <v>127</v>
      </c>
      <c r="F20" s="58"/>
      <c r="G20" s="55"/>
      <c r="H20" s="112"/>
      <c r="I20" s="245"/>
      <c r="J20" s="58"/>
      <c r="K20" s="58"/>
      <c r="L20" s="247"/>
      <c r="M20" s="245">
        <f>M12+1</f>
        <v>2</v>
      </c>
      <c r="N20" s="112">
        <f>32599-798+28*M20</f>
        <v>31857</v>
      </c>
      <c r="O20" s="55" t="s">
        <v>106</v>
      </c>
      <c r="P20" s="246">
        <f>32599+14+28*M20</f>
        <v>32669</v>
      </c>
      <c r="Q20" s="310"/>
      <c r="R20" s="311"/>
      <c r="S20" s="311"/>
      <c r="T20" s="312"/>
      <c r="U20" s="310"/>
      <c r="V20" s="311"/>
      <c r="W20" s="311"/>
      <c r="X20" s="311"/>
      <c r="Y20" s="202"/>
    </row>
    <row r="21" spans="1:25" x14ac:dyDescent="0.25">
      <c r="A21" s="189">
        <f t="shared" si="2"/>
        <v>13</v>
      </c>
      <c r="B21" s="112">
        <f t="shared" si="0"/>
        <v>31858.75</v>
      </c>
      <c r="C21" s="112" t="s">
        <v>106</v>
      </c>
      <c r="D21" s="112">
        <f t="shared" si="1"/>
        <v>32670.75</v>
      </c>
      <c r="E21" s="245">
        <f>E19+1</f>
        <v>7</v>
      </c>
      <c r="F21" s="112">
        <f>32599-787.5+7*E21</f>
        <v>31860.5</v>
      </c>
      <c r="G21" s="55" t="s">
        <v>106</v>
      </c>
      <c r="H21" s="112">
        <f t="shared" si="3"/>
        <v>32672.5</v>
      </c>
      <c r="I21" s="245"/>
      <c r="J21" s="58"/>
      <c r="K21" s="58"/>
      <c r="L21" s="247"/>
      <c r="M21" s="245"/>
      <c r="N21" s="58"/>
      <c r="O21" s="58"/>
      <c r="P21" s="247"/>
      <c r="Q21" s="310"/>
      <c r="R21" s="311"/>
      <c r="S21" s="311"/>
      <c r="T21" s="312"/>
      <c r="U21" s="313"/>
      <c r="V21" s="311"/>
      <c r="W21" s="311"/>
      <c r="X21" s="311"/>
      <c r="Y21" s="202"/>
    </row>
    <row r="22" spans="1:25" x14ac:dyDescent="0.25">
      <c r="A22" s="189">
        <f t="shared" si="2"/>
        <v>14</v>
      </c>
      <c r="B22" s="112">
        <f t="shared" si="0"/>
        <v>31862.25</v>
      </c>
      <c r="C22" s="112" t="s">
        <v>106</v>
      </c>
      <c r="D22" s="112">
        <f t="shared" si="1"/>
        <v>32674.25</v>
      </c>
      <c r="E22" s="254" t="s">
        <v>127</v>
      </c>
      <c r="F22" s="58"/>
      <c r="G22" s="55"/>
      <c r="H22" s="112"/>
      <c r="I22" s="254">
        <f>I18+1</f>
        <v>4</v>
      </c>
      <c r="J22" s="112">
        <f>32599-791+14*I22</f>
        <v>31864</v>
      </c>
      <c r="K22" s="55" t="s">
        <v>106</v>
      </c>
      <c r="L22" s="112">
        <f>32599+21+14*I22</f>
        <v>32676</v>
      </c>
      <c r="M22" s="254"/>
      <c r="N22" s="58"/>
      <c r="O22" s="58"/>
      <c r="P22" s="247"/>
      <c r="Q22" s="318"/>
      <c r="R22" s="314"/>
      <c r="S22" s="314"/>
      <c r="T22" s="317"/>
      <c r="U22" s="319"/>
      <c r="V22" s="314"/>
      <c r="W22" s="314"/>
      <c r="X22" s="314"/>
      <c r="Y22" s="202"/>
    </row>
    <row r="23" spans="1:25" x14ac:dyDescent="0.25">
      <c r="A23" s="189">
        <f t="shared" si="2"/>
        <v>15</v>
      </c>
      <c r="B23" s="112">
        <f t="shared" si="0"/>
        <v>31865.75</v>
      </c>
      <c r="C23" s="112" t="s">
        <v>106</v>
      </c>
      <c r="D23" s="112">
        <f t="shared" si="1"/>
        <v>32677.75</v>
      </c>
      <c r="E23" s="245">
        <f>E21+1</f>
        <v>8</v>
      </c>
      <c r="F23" s="112">
        <f>32599-787.5+7*E23</f>
        <v>31867.5</v>
      </c>
      <c r="G23" s="55" t="s">
        <v>106</v>
      </c>
      <c r="H23" s="112">
        <f t="shared" si="3"/>
        <v>32679.5</v>
      </c>
      <c r="I23" s="245"/>
      <c r="J23" s="58"/>
      <c r="K23" s="55"/>
      <c r="L23" s="246"/>
      <c r="M23" s="245"/>
      <c r="N23" s="58"/>
      <c r="O23" s="58"/>
      <c r="P23" s="247"/>
      <c r="Q23" s="310"/>
      <c r="R23" s="311"/>
      <c r="S23" s="311"/>
      <c r="T23" s="312"/>
      <c r="U23" s="313"/>
      <c r="V23" s="311"/>
      <c r="W23" s="311"/>
      <c r="X23" s="311"/>
      <c r="Y23" s="202"/>
    </row>
    <row r="24" spans="1:25" ht="15.75" thickBot="1" x14ac:dyDescent="0.3">
      <c r="A24" s="519">
        <f t="shared" si="2"/>
        <v>16</v>
      </c>
      <c r="B24" s="371">
        <f t="shared" si="0"/>
        <v>31869.25</v>
      </c>
      <c r="C24" s="371" t="s">
        <v>106</v>
      </c>
      <c r="D24" s="371">
        <f t="shared" si="1"/>
        <v>32681.25</v>
      </c>
      <c r="E24" s="374"/>
      <c r="F24" s="371"/>
      <c r="G24" s="372"/>
      <c r="H24" s="371"/>
      <c r="I24" s="374"/>
      <c r="J24" s="371"/>
      <c r="K24" s="68"/>
      <c r="L24" s="251"/>
      <c r="M24" s="254"/>
      <c r="N24" s="371"/>
      <c r="O24" s="371"/>
      <c r="P24" s="373"/>
      <c r="Q24" s="320"/>
      <c r="R24" s="321">
        <v>31871</v>
      </c>
      <c r="S24" s="321"/>
      <c r="T24" s="321">
        <v>32683</v>
      </c>
      <c r="U24" s="313"/>
      <c r="V24" s="315"/>
      <c r="W24" s="322"/>
      <c r="X24" s="315"/>
      <c r="Y24" s="346"/>
    </row>
    <row r="25" spans="1:25" ht="15.75" thickTop="1" x14ac:dyDescent="0.25">
      <c r="A25" s="244">
        <f t="shared" si="2"/>
        <v>17</v>
      </c>
      <c r="B25" s="112">
        <f t="shared" si="0"/>
        <v>31872.75</v>
      </c>
      <c r="C25" s="112" t="s">
        <v>106</v>
      </c>
      <c r="D25" s="112">
        <f t="shared" si="1"/>
        <v>32684.75</v>
      </c>
      <c r="E25" s="324">
        <f>E23+1</f>
        <v>9</v>
      </c>
      <c r="F25" s="112">
        <f>32599-787.5+7*E25</f>
        <v>31874.5</v>
      </c>
      <c r="G25" s="119" t="s">
        <v>106</v>
      </c>
      <c r="H25" s="112">
        <f t="shared" si="3"/>
        <v>32686.5</v>
      </c>
      <c r="I25" s="324"/>
      <c r="J25" s="112"/>
      <c r="K25" s="298"/>
      <c r="L25" s="325"/>
      <c r="M25" s="326"/>
      <c r="N25" s="112"/>
      <c r="O25" s="112"/>
      <c r="P25" s="327"/>
      <c r="Q25" s="117"/>
      <c r="R25" s="520"/>
      <c r="S25" s="520"/>
      <c r="T25" s="327"/>
      <c r="U25" s="326"/>
      <c r="V25" s="348"/>
      <c r="W25" s="348"/>
      <c r="X25" s="348"/>
      <c r="Y25" s="328"/>
    </row>
    <row r="26" spans="1:25" x14ac:dyDescent="0.25">
      <c r="A26" s="189">
        <f t="shared" si="2"/>
        <v>18</v>
      </c>
      <c r="B26" s="112">
        <f t="shared" si="0"/>
        <v>31876.25</v>
      </c>
      <c r="C26" s="112" t="s">
        <v>106</v>
      </c>
      <c r="D26" s="112">
        <f t="shared" si="1"/>
        <v>32688.25</v>
      </c>
      <c r="E26" s="245"/>
      <c r="F26" s="58"/>
      <c r="G26" s="55"/>
      <c r="H26" s="112"/>
      <c r="I26" s="245">
        <f>I22+1</f>
        <v>5</v>
      </c>
      <c r="J26" s="112">
        <f>32599-791+14*I26</f>
        <v>31878</v>
      </c>
      <c r="K26" s="55" t="s">
        <v>106</v>
      </c>
      <c r="L26" s="112">
        <f>32599+21+14*I26</f>
        <v>32690</v>
      </c>
      <c r="M26" s="245"/>
      <c r="N26" s="58"/>
      <c r="O26" s="58"/>
      <c r="P26" s="247"/>
      <c r="Q26" s="117"/>
      <c r="R26" s="249"/>
      <c r="S26" s="249"/>
      <c r="T26" s="247"/>
      <c r="U26" s="245"/>
      <c r="V26" s="249"/>
      <c r="W26" s="249"/>
      <c r="X26" s="249"/>
      <c r="Y26" s="202"/>
    </row>
    <row r="27" spans="1:25" x14ac:dyDescent="0.25">
      <c r="A27" s="189">
        <f t="shared" si="2"/>
        <v>19</v>
      </c>
      <c r="B27" s="112">
        <f t="shared" si="0"/>
        <v>31879.75</v>
      </c>
      <c r="C27" s="112" t="s">
        <v>106</v>
      </c>
      <c r="D27" s="112">
        <f t="shared" si="1"/>
        <v>32691.75</v>
      </c>
      <c r="E27" s="245">
        <f>E25+1</f>
        <v>10</v>
      </c>
      <c r="F27" s="112">
        <f>32599-787.5+7*E27</f>
        <v>31881.5</v>
      </c>
      <c r="G27" s="55" t="s">
        <v>106</v>
      </c>
      <c r="H27" s="112">
        <f t="shared" si="3"/>
        <v>32693.5</v>
      </c>
      <c r="I27" s="245"/>
      <c r="J27" s="58"/>
      <c r="K27" s="55"/>
      <c r="L27" s="246"/>
      <c r="M27" s="245"/>
      <c r="N27" s="58"/>
      <c r="O27" s="58"/>
      <c r="P27" s="247"/>
      <c r="Q27" s="117"/>
      <c r="R27" s="249"/>
      <c r="S27" s="249"/>
      <c r="T27" s="247"/>
      <c r="U27" s="245"/>
      <c r="V27" s="249"/>
      <c r="W27" s="249"/>
      <c r="X27" s="249"/>
      <c r="Y27" s="202"/>
    </row>
    <row r="28" spans="1:25" x14ac:dyDescent="0.25">
      <c r="A28" s="189">
        <f t="shared" si="2"/>
        <v>20</v>
      </c>
      <c r="B28" s="112">
        <f t="shared" si="0"/>
        <v>31883.25</v>
      </c>
      <c r="C28" s="112" t="s">
        <v>106</v>
      </c>
      <c r="D28" s="112">
        <f t="shared" si="1"/>
        <v>32695.25</v>
      </c>
      <c r="E28" s="245"/>
      <c r="F28" s="58"/>
      <c r="G28" s="55"/>
      <c r="H28" s="112"/>
      <c r="I28" s="245"/>
      <c r="J28" s="58"/>
      <c r="K28" s="58"/>
      <c r="L28" s="247"/>
      <c r="M28" s="245">
        <f>M20+1</f>
        <v>3</v>
      </c>
      <c r="N28" s="112">
        <f>32599-798+28*M28</f>
        <v>31885</v>
      </c>
      <c r="O28" s="55" t="s">
        <v>106</v>
      </c>
      <c r="P28" s="246">
        <f>32599+14+28*M28</f>
        <v>32697</v>
      </c>
      <c r="Q28" s="117"/>
      <c r="R28" s="249"/>
      <c r="S28" s="249"/>
      <c r="T28" s="247"/>
      <c r="U28" s="245"/>
      <c r="W28" s="55"/>
      <c r="X28" s="55"/>
      <c r="Y28" s="202"/>
    </row>
    <row r="29" spans="1:25" x14ac:dyDescent="0.25">
      <c r="A29" s="189">
        <f t="shared" si="2"/>
        <v>21</v>
      </c>
      <c r="B29" s="112">
        <f t="shared" si="0"/>
        <v>31886.75</v>
      </c>
      <c r="C29" s="112" t="s">
        <v>106</v>
      </c>
      <c r="D29" s="112">
        <f t="shared" si="1"/>
        <v>32698.75</v>
      </c>
      <c r="E29" s="245">
        <f>E27+1</f>
        <v>11</v>
      </c>
      <c r="F29" s="112">
        <f>32599-787.5+7*E29</f>
        <v>31888.5</v>
      </c>
      <c r="G29" s="55" t="s">
        <v>106</v>
      </c>
      <c r="H29" s="112">
        <f t="shared" si="3"/>
        <v>32700.5</v>
      </c>
      <c r="I29" s="245"/>
      <c r="J29" s="58"/>
      <c r="K29" s="58"/>
      <c r="L29" s="247"/>
      <c r="M29" s="245"/>
      <c r="N29" s="58"/>
      <c r="O29" s="58"/>
      <c r="P29" s="247"/>
      <c r="Q29" s="117"/>
      <c r="R29" s="249"/>
      <c r="S29" s="249"/>
      <c r="T29" s="247"/>
      <c r="U29" s="245"/>
      <c r="V29" s="249"/>
      <c r="W29" s="249"/>
      <c r="X29" s="249"/>
      <c r="Y29" s="202"/>
    </row>
    <row r="30" spans="1:25" x14ac:dyDescent="0.25">
      <c r="A30" s="189">
        <f t="shared" si="2"/>
        <v>22</v>
      </c>
      <c r="B30" s="112">
        <f t="shared" si="0"/>
        <v>31890.25</v>
      </c>
      <c r="C30" s="112" t="s">
        <v>106</v>
      </c>
      <c r="D30" s="112">
        <f t="shared" si="1"/>
        <v>32702.25</v>
      </c>
      <c r="E30" s="245"/>
      <c r="F30" s="58"/>
      <c r="G30" s="55"/>
      <c r="H30" s="112"/>
      <c r="I30" s="245">
        <f>I26+1</f>
        <v>6</v>
      </c>
      <c r="J30" s="112">
        <f>32599-791+14*I30</f>
        <v>31892</v>
      </c>
      <c r="K30" s="55" t="s">
        <v>106</v>
      </c>
      <c r="L30" s="112">
        <f>32599+21+14*I30</f>
        <v>32704</v>
      </c>
      <c r="M30" s="245"/>
      <c r="N30" s="58"/>
      <c r="O30" s="58"/>
      <c r="P30" s="247"/>
      <c r="Q30" s="117"/>
      <c r="R30" s="249"/>
      <c r="S30" s="249"/>
      <c r="T30" s="247"/>
      <c r="U30" s="245"/>
      <c r="V30" s="249"/>
      <c r="W30" s="249"/>
      <c r="X30" s="249"/>
      <c r="Y30" s="202"/>
    </row>
    <row r="31" spans="1:25" x14ac:dyDescent="0.25">
      <c r="A31" s="189">
        <f t="shared" si="2"/>
        <v>23</v>
      </c>
      <c r="B31" s="112">
        <f t="shared" si="0"/>
        <v>31893.75</v>
      </c>
      <c r="C31" s="112" t="s">
        <v>106</v>
      </c>
      <c r="D31" s="112">
        <f t="shared" si="1"/>
        <v>32705.75</v>
      </c>
      <c r="E31" s="245">
        <f>E29+1</f>
        <v>12</v>
      </c>
      <c r="F31" s="112">
        <f>32599-787.5+7*E31</f>
        <v>31895.5</v>
      </c>
      <c r="G31" s="55" t="s">
        <v>106</v>
      </c>
      <c r="H31" s="112">
        <f t="shared" si="3"/>
        <v>32707.5</v>
      </c>
      <c r="I31" s="245"/>
      <c r="J31" s="58"/>
      <c r="K31" s="55"/>
      <c r="L31" s="246"/>
      <c r="M31" s="245"/>
      <c r="N31" s="58"/>
      <c r="O31" s="58"/>
      <c r="P31" s="247"/>
      <c r="Q31" s="117"/>
      <c r="R31" s="249"/>
      <c r="S31" s="249"/>
      <c r="T31" s="247"/>
      <c r="U31" s="245"/>
      <c r="V31" s="249"/>
      <c r="W31" s="249"/>
      <c r="X31" s="249"/>
      <c r="Y31" s="202"/>
    </row>
    <row r="32" spans="1:25" x14ac:dyDescent="0.25">
      <c r="A32" s="189">
        <f t="shared" si="2"/>
        <v>24</v>
      </c>
      <c r="B32" s="112">
        <f t="shared" si="0"/>
        <v>31897.25</v>
      </c>
      <c r="C32" s="112" t="s">
        <v>106</v>
      </c>
      <c r="D32" s="112">
        <f t="shared" si="1"/>
        <v>32709.25</v>
      </c>
      <c r="E32" s="245"/>
      <c r="F32" s="58"/>
      <c r="G32" s="55"/>
      <c r="H32" s="112"/>
      <c r="I32" s="245"/>
      <c r="J32" s="58"/>
      <c r="K32" s="58"/>
      <c r="L32" s="247"/>
      <c r="M32" s="245"/>
      <c r="N32" s="58"/>
      <c r="O32" s="58"/>
      <c r="P32" s="247"/>
      <c r="Q32" s="117">
        <v>1</v>
      </c>
      <c r="R32" s="112">
        <f>32599-756+56*Q32</f>
        <v>31899</v>
      </c>
      <c r="S32" s="55" t="s">
        <v>106</v>
      </c>
      <c r="T32" s="112">
        <f>32599+56+56*Q32</f>
        <v>32711</v>
      </c>
      <c r="U32" s="178"/>
      <c r="V32" s="186"/>
      <c r="W32" s="186"/>
      <c r="X32" s="186"/>
      <c r="Y32" s="360" t="s">
        <v>219</v>
      </c>
    </row>
    <row r="33" spans="1:25" x14ac:dyDescent="0.25">
      <c r="A33" s="189">
        <f t="shared" si="2"/>
        <v>25</v>
      </c>
      <c r="B33" s="112">
        <f t="shared" si="0"/>
        <v>31900.75</v>
      </c>
      <c r="C33" s="112" t="s">
        <v>106</v>
      </c>
      <c r="D33" s="112">
        <f t="shared" si="1"/>
        <v>32712.75</v>
      </c>
      <c r="E33" s="245">
        <f>E31+1</f>
        <v>13</v>
      </c>
      <c r="F33" s="112">
        <f>32599-787.5+7*E33</f>
        <v>31902.5</v>
      </c>
      <c r="G33" s="55" t="s">
        <v>106</v>
      </c>
      <c r="H33" s="112">
        <f t="shared" si="3"/>
        <v>32714.5</v>
      </c>
      <c r="I33" s="245"/>
      <c r="J33" s="58"/>
      <c r="K33" s="58"/>
      <c r="L33" s="247"/>
      <c r="M33" s="245"/>
      <c r="N33" s="58"/>
      <c r="O33" s="58"/>
      <c r="P33" s="247"/>
      <c r="Q33" s="117"/>
      <c r="R33" s="249"/>
      <c r="S33" s="249"/>
      <c r="T33" s="247"/>
      <c r="U33" s="245"/>
      <c r="V33" s="249"/>
      <c r="W33" s="249"/>
      <c r="X33" s="249"/>
      <c r="Y33" s="202"/>
    </row>
    <row r="34" spans="1:25" x14ac:dyDescent="0.25">
      <c r="A34" s="189">
        <f t="shared" si="2"/>
        <v>26</v>
      </c>
      <c r="B34" s="112">
        <f t="shared" si="0"/>
        <v>31904.25</v>
      </c>
      <c r="C34" s="112" t="s">
        <v>106</v>
      </c>
      <c r="D34" s="112">
        <f t="shared" si="1"/>
        <v>32716.25</v>
      </c>
      <c r="E34" s="245"/>
      <c r="F34" s="58"/>
      <c r="G34" s="55"/>
      <c r="H34" s="112"/>
      <c r="I34" s="245">
        <f>I30+1</f>
        <v>7</v>
      </c>
      <c r="J34" s="112">
        <f>32599-791+14*I34</f>
        <v>31906</v>
      </c>
      <c r="K34" s="55" t="s">
        <v>106</v>
      </c>
      <c r="L34" s="112">
        <f>32599+21+14*I34</f>
        <v>32718</v>
      </c>
      <c r="M34" s="245"/>
      <c r="N34" s="58"/>
      <c r="O34" s="58"/>
      <c r="P34" s="247"/>
      <c r="Q34" s="117"/>
      <c r="R34" s="249"/>
      <c r="S34" s="249"/>
      <c r="T34" s="247"/>
      <c r="U34" s="245"/>
      <c r="V34" s="249"/>
      <c r="W34" s="249"/>
      <c r="X34" s="249"/>
      <c r="Y34" s="202"/>
    </row>
    <row r="35" spans="1:25" x14ac:dyDescent="0.25">
      <c r="A35" s="189">
        <f t="shared" si="2"/>
        <v>27</v>
      </c>
      <c r="B35" s="112">
        <f t="shared" si="0"/>
        <v>31907.75</v>
      </c>
      <c r="C35" s="112" t="s">
        <v>106</v>
      </c>
      <c r="D35" s="112">
        <f t="shared" si="1"/>
        <v>32719.75</v>
      </c>
      <c r="E35" s="245">
        <f>E33+1</f>
        <v>14</v>
      </c>
      <c r="F35" s="112">
        <f>32599-787.5+7*E35</f>
        <v>31909.5</v>
      </c>
      <c r="G35" s="55" t="s">
        <v>106</v>
      </c>
      <c r="H35" s="112">
        <f t="shared" si="3"/>
        <v>32721.5</v>
      </c>
      <c r="I35" s="245"/>
      <c r="J35" s="58"/>
      <c r="K35" s="55"/>
      <c r="L35" s="246"/>
      <c r="M35" s="245"/>
      <c r="N35" s="58"/>
      <c r="O35" s="58"/>
      <c r="P35" s="247"/>
      <c r="Q35" s="117"/>
      <c r="R35" s="250"/>
      <c r="S35" s="249"/>
      <c r="T35" s="251"/>
      <c r="U35" s="245"/>
      <c r="V35" s="249"/>
      <c r="W35" s="249"/>
      <c r="X35" s="249"/>
      <c r="Y35" s="202"/>
    </row>
    <row r="36" spans="1:25" x14ac:dyDescent="0.25">
      <c r="A36" s="189">
        <f t="shared" si="2"/>
        <v>28</v>
      </c>
      <c r="B36" s="112">
        <f t="shared" si="0"/>
        <v>31911.25</v>
      </c>
      <c r="C36" s="112" t="s">
        <v>106</v>
      </c>
      <c r="D36" s="112">
        <f t="shared" si="1"/>
        <v>32723.25</v>
      </c>
      <c r="E36" s="245"/>
      <c r="F36" s="58"/>
      <c r="G36" s="55"/>
      <c r="H36" s="112"/>
      <c r="I36" s="245"/>
      <c r="J36" s="58"/>
      <c r="K36" s="58"/>
      <c r="L36" s="247"/>
      <c r="M36" s="245">
        <f>M28+1</f>
        <v>4</v>
      </c>
      <c r="N36" s="112">
        <f>32599-798+28*M36</f>
        <v>31913</v>
      </c>
      <c r="O36" s="55" t="s">
        <v>106</v>
      </c>
      <c r="P36" s="246">
        <f>32599+14+28*M36</f>
        <v>32725</v>
      </c>
      <c r="Q36" s="117"/>
      <c r="R36" s="249"/>
      <c r="S36" s="249"/>
      <c r="T36" s="247"/>
      <c r="U36" s="245"/>
      <c r="V36" s="249"/>
      <c r="W36" s="249"/>
      <c r="X36" s="249"/>
      <c r="Y36" s="202"/>
    </row>
    <row r="37" spans="1:25" x14ac:dyDescent="0.25">
      <c r="A37" s="189">
        <f t="shared" si="2"/>
        <v>29</v>
      </c>
      <c r="B37" s="112">
        <f t="shared" si="0"/>
        <v>31914.75</v>
      </c>
      <c r="C37" s="112" t="s">
        <v>106</v>
      </c>
      <c r="D37" s="112">
        <f t="shared" si="1"/>
        <v>32726.75</v>
      </c>
      <c r="E37" s="245">
        <f>E35+1</f>
        <v>15</v>
      </c>
      <c r="F37" s="112">
        <f>32599-787.5+7*E37</f>
        <v>31916.5</v>
      </c>
      <c r="G37" s="55" t="s">
        <v>106</v>
      </c>
      <c r="H37" s="112">
        <f t="shared" si="3"/>
        <v>32728.5</v>
      </c>
      <c r="I37" s="245"/>
      <c r="J37" s="58"/>
      <c r="K37" s="58"/>
      <c r="L37" s="247"/>
      <c r="M37" s="245"/>
      <c r="N37" s="58"/>
      <c r="O37" s="58"/>
      <c r="P37" s="247"/>
      <c r="Q37" s="117"/>
      <c r="R37" s="249"/>
      <c r="S37" s="249"/>
      <c r="T37" s="247"/>
      <c r="U37" s="245"/>
      <c r="V37" s="249"/>
      <c r="W37" s="249"/>
      <c r="X37" s="249"/>
      <c r="Y37" s="202"/>
    </row>
    <row r="38" spans="1:25" x14ac:dyDescent="0.25">
      <c r="A38" s="189">
        <f t="shared" si="2"/>
        <v>30</v>
      </c>
      <c r="B38" s="112">
        <f t="shared" si="0"/>
        <v>31918.25</v>
      </c>
      <c r="C38" s="112" t="s">
        <v>106</v>
      </c>
      <c r="D38" s="112">
        <f t="shared" si="1"/>
        <v>32730.25</v>
      </c>
      <c r="E38" s="245"/>
      <c r="F38" s="58"/>
      <c r="G38" s="55"/>
      <c r="H38" s="112"/>
      <c r="I38" s="245">
        <f>I34+1</f>
        <v>8</v>
      </c>
      <c r="J38" s="112">
        <f>32599-791+14*I38</f>
        <v>31920</v>
      </c>
      <c r="K38" s="55" t="s">
        <v>106</v>
      </c>
      <c r="L38" s="112">
        <f>32599+21+14*I38</f>
        <v>32732</v>
      </c>
      <c r="M38" s="245"/>
      <c r="N38" s="58"/>
      <c r="O38" s="58"/>
      <c r="P38" s="247"/>
      <c r="Q38" s="521"/>
      <c r="R38" s="250"/>
      <c r="S38" s="250"/>
      <c r="T38" s="251"/>
      <c r="U38" s="245"/>
      <c r="V38" s="249"/>
      <c r="W38" s="249"/>
      <c r="X38" s="249"/>
      <c r="Y38" s="202"/>
    </row>
    <row r="39" spans="1:25" x14ac:dyDescent="0.25">
      <c r="A39" s="189">
        <f t="shared" si="2"/>
        <v>31</v>
      </c>
      <c r="B39" s="112">
        <f t="shared" si="0"/>
        <v>31921.75</v>
      </c>
      <c r="C39" s="112" t="s">
        <v>106</v>
      </c>
      <c r="D39" s="112">
        <f t="shared" si="1"/>
        <v>32733.75</v>
      </c>
      <c r="E39" s="245">
        <f>E37+1</f>
        <v>16</v>
      </c>
      <c r="F39" s="112">
        <f>32599-787.5+7*E39</f>
        <v>31923.5</v>
      </c>
      <c r="G39" s="55" t="s">
        <v>106</v>
      </c>
      <c r="H39" s="112">
        <f t="shared" si="3"/>
        <v>32735.5</v>
      </c>
      <c r="I39" s="245"/>
      <c r="J39" s="58"/>
      <c r="K39" s="55"/>
      <c r="L39" s="246"/>
      <c r="M39" s="245"/>
      <c r="N39" s="58"/>
      <c r="O39" s="58"/>
      <c r="P39" s="247"/>
      <c r="Q39" s="117"/>
      <c r="R39" s="249"/>
      <c r="S39" s="249"/>
      <c r="T39" s="247"/>
      <c r="U39" s="245"/>
      <c r="V39" s="249"/>
      <c r="W39" s="249"/>
      <c r="X39" s="249"/>
      <c r="Y39" s="202"/>
    </row>
    <row r="40" spans="1:25" ht="15.75" thickBot="1" x14ac:dyDescent="0.3">
      <c r="A40" s="519">
        <f t="shared" si="2"/>
        <v>32</v>
      </c>
      <c r="B40" s="371">
        <f t="shared" si="0"/>
        <v>31925.25</v>
      </c>
      <c r="C40" s="371" t="s">
        <v>106</v>
      </c>
      <c r="D40" s="371">
        <f t="shared" si="1"/>
        <v>32737.25</v>
      </c>
      <c r="E40" s="374"/>
      <c r="F40" s="371"/>
      <c r="G40" s="372"/>
      <c r="H40" s="371"/>
      <c r="I40" s="374"/>
      <c r="J40" s="68"/>
      <c r="K40" s="68"/>
      <c r="L40" s="251"/>
      <c r="M40" s="254"/>
      <c r="N40" s="68"/>
      <c r="O40" s="371"/>
      <c r="P40" s="373"/>
      <c r="Q40" s="522"/>
      <c r="R40" s="250"/>
      <c r="S40" s="250"/>
      <c r="T40" s="251"/>
      <c r="U40" s="254"/>
      <c r="V40" s="250"/>
      <c r="W40" s="250"/>
      <c r="X40" s="250"/>
      <c r="Y40" s="346"/>
    </row>
    <row r="41" spans="1:25" ht="15.75" thickTop="1" x14ac:dyDescent="0.25">
      <c r="A41" s="244">
        <f t="shared" si="2"/>
        <v>33</v>
      </c>
      <c r="B41" s="112">
        <f t="shared" si="0"/>
        <v>31928.75</v>
      </c>
      <c r="C41" s="112" t="s">
        <v>106</v>
      </c>
      <c r="D41" s="112">
        <f t="shared" si="1"/>
        <v>32740.75</v>
      </c>
      <c r="E41" s="324">
        <f>E39+1</f>
        <v>17</v>
      </c>
      <c r="F41" s="112">
        <f>32599-787.5+7*E41</f>
        <v>31930.5</v>
      </c>
      <c r="G41" s="119" t="s">
        <v>106</v>
      </c>
      <c r="H41" s="112">
        <f t="shared" si="3"/>
        <v>32742.5</v>
      </c>
      <c r="I41" s="324"/>
      <c r="J41" s="298"/>
      <c r="K41" s="298"/>
      <c r="L41" s="325"/>
      <c r="M41" s="326"/>
      <c r="N41" s="298"/>
      <c r="O41" s="112"/>
      <c r="P41" s="327"/>
      <c r="Q41" s="523"/>
      <c r="R41" s="348"/>
      <c r="S41" s="348"/>
      <c r="T41" s="325"/>
      <c r="U41" s="326">
        <v>1</v>
      </c>
      <c r="V41" s="348">
        <f>32599-784+112*U41</f>
        <v>31927</v>
      </c>
      <c r="W41" s="348" t="s">
        <v>106</v>
      </c>
      <c r="X41" s="348">
        <f>32599+28+112*U41</f>
        <v>32739</v>
      </c>
      <c r="Y41" s="328"/>
    </row>
    <row r="42" spans="1:25" x14ac:dyDescent="0.25">
      <c r="A42" s="189">
        <f t="shared" si="2"/>
        <v>34</v>
      </c>
      <c r="B42" s="112">
        <f t="shared" si="0"/>
        <v>31932.25</v>
      </c>
      <c r="C42" s="112" t="s">
        <v>106</v>
      </c>
      <c r="D42" s="112">
        <f t="shared" si="1"/>
        <v>32744.25</v>
      </c>
      <c r="E42" s="245"/>
      <c r="F42" s="58"/>
      <c r="G42" s="55"/>
      <c r="H42" s="112"/>
      <c r="I42" s="245">
        <f>I38+1</f>
        <v>9</v>
      </c>
      <c r="J42" s="112">
        <f>32599-791+14*I42</f>
        <v>31934</v>
      </c>
      <c r="K42" s="55" t="s">
        <v>106</v>
      </c>
      <c r="L42" s="112">
        <f>32599+21+14*I42</f>
        <v>32746</v>
      </c>
      <c r="M42" s="245"/>
      <c r="N42" s="58"/>
      <c r="O42" s="58"/>
      <c r="P42" s="247"/>
      <c r="Q42" s="117"/>
      <c r="R42" s="249"/>
      <c r="S42" s="249"/>
      <c r="T42" s="247"/>
      <c r="U42" s="245"/>
      <c r="V42" s="249"/>
      <c r="W42" s="249"/>
      <c r="X42" s="249"/>
      <c r="Y42" s="202"/>
    </row>
    <row r="43" spans="1:25" x14ac:dyDescent="0.25">
      <c r="A43" s="189">
        <f t="shared" si="2"/>
        <v>35</v>
      </c>
      <c r="B43" s="112">
        <f t="shared" si="0"/>
        <v>31935.75</v>
      </c>
      <c r="C43" s="112" t="s">
        <v>106</v>
      </c>
      <c r="D43" s="112">
        <f t="shared" si="1"/>
        <v>32747.75</v>
      </c>
      <c r="E43" s="245">
        <f>E41+1</f>
        <v>18</v>
      </c>
      <c r="F43" s="112">
        <f>32599-787.5+7*E43</f>
        <v>31937.5</v>
      </c>
      <c r="G43" s="55" t="s">
        <v>106</v>
      </c>
      <c r="H43" s="112">
        <f t="shared" si="3"/>
        <v>32749.5</v>
      </c>
      <c r="I43" s="245"/>
      <c r="J43" s="58"/>
      <c r="K43" s="55"/>
      <c r="L43" s="246"/>
      <c r="M43" s="245"/>
      <c r="N43" s="58"/>
      <c r="O43" s="58"/>
      <c r="P43" s="247"/>
      <c r="Q43" s="117"/>
      <c r="R43" s="249"/>
      <c r="S43" s="249"/>
      <c r="T43" s="247"/>
      <c r="U43" s="245"/>
      <c r="V43" s="249"/>
      <c r="W43" s="249"/>
      <c r="X43" s="249"/>
      <c r="Y43" s="202"/>
    </row>
    <row r="44" spans="1:25" x14ac:dyDescent="0.25">
      <c r="A44" s="189">
        <f t="shared" si="2"/>
        <v>36</v>
      </c>
      <c r="B44" s="112">
        <f t="shared" si="0"/>
        <v>31939.25</v>
      </c>
      <c r="C44" s="112" t="s">
        <v>106</v>
      </c>
      <c r="D44" s="112">
        <f t="shared" si="1"/>
        <v>32751.25</v>
      </c>
      <c r="E44" s="245"/>
      <c r="F44" s="58"/>
      <c r="G44" s="55"/>
      <c r="H44" s="112"/>
      <c r="I44" s="245"/>
      <c r="J44" s="58"/>
      <c r="K44" s="58"/>
      <c r="L44" s="247"/>
      <c r="M44" s="245">
        <f>M36+1</f>
        <v>5</v>
      </c>
      <c r="N44" s="112">
        <f>32599-798+28*M44</f>
        <v>31941</v>
      </c>
      <c r="O44" s="55" t="s">
        <v>106</v>
      </c>
      <c r="P44" s="246">
        <f>32599+14+28*M44</f>
        <v>32753</v>
      </c>
      <c r="Q44" s="117"/>
      <c r="R44" s="58"/>
      <c r="S44" s="55"/>
      <c r="T44" s="246"/>
      <c r="U44" s="245"/>
      <c r="V44" s="249"/>
      <c r="W44" s="249"/>
      <c r="X44" s="249"/>
      <c r="Y44" s="202"/>
    </row>
    <row r="45" spans="1:25" x14ac:dyDescent="0.25">
      <c r="A45" s="189">
        <f t="shared" si="2"/>
        <v>37</v>
      </c>
      <c r="B45" s="112">
        <f t="shared" si="0"/>
        <v>31942.75</v>
      </c>
      <c r="C45" s="112" t="s">
        <v>106</v>
      </c>
      <c r="D45" s="112">
        <f t="shared" si="1"/>
        <v>32754.75</v>
      </c>
      <c r="E45" s="245">
        <f>E43+1</f>
        <v>19</v>
      </c>
      <c r="F45" s="112">
        <f>32599-787.5+7*E45</f>
        <v>31944.5</v>
      </c>
      <c r="G45" s="55" t="s">
        <v>106</v>
      </c>
      <c r="H45" s="112">
        <f t="shared" si="3"/>
        <v>32756.5</v>
      </c>
      <c r="I45" s="245"/>
      <c r="J45" s="58"/>
      <c r="K45" s="58"/>
      <c r="L45" s="247"/>
      <c r="M45" s="245"/>
      <c r="N45" s="58"/>
      <c r="O45" s="58"/>
      <c r="P45" s="247"/>
      <c r="Q45" s="117"/>
      <c r="R45" s="249"/>
      <c r="S45" s="249"/>
      <c r="T45" s="247"/>
      <c r="U45" s="245"/>
      <c r="V45" s="249"/>
      <c r="W45" s="249"/>
      <c r="X45" s="249"/>
      <c r="Y45" s="202"/>
    </row>
    <row r="46" spans="1:25" x14ac:dyDescent="0.25">
      <c r="A46" s="189">
        <f t="shared" si="2"/>
        <v>38</v>
      </c>
      <c r="B46" s="112">
        <f t="shared" si="0"/>
        <v>31946.25</v>
      </c>
      <c r="C46" s="112" t="s">
        <v>106</v>
      </c>
      <c r="D46" s="112">
        <f t="shared" si="1"/>
        <v>32758.25</v>
      </c>
      <c r="E46" s="245"/>
      <c r="F46" s="58"/>
      <c r="G46" s="55"/>
      <c r="H46" s="112"/>
      <c r="I46" s="245">
        <f>I42+1</f>
        <v>10</v>
      </c>
      <c r="J46" s="112">
        <f>32599-791+14*I46</f>
        <v>31948</v>
      </c>
      <c r="K46" s="55" t="s">
        <v>106</v>
      </c>
      <c r="L46" s="112">
        <f>32599+21+14*I46</f>
        <v>32760</v>
      </c>
      <c r="M46" s="245"/>
      <c r="N46" s="58"/>
      <c r="O46" s="58"/>
      <c r="P46" s="247"/>
      <c r="Q46" s="117"/>
      <c r="R46" s="249"/>
      <c r="S46" s="249"/>
      <c r="T46" s="247"/>
      <c r="U46" s="245"/>
      <c r="V46" s="249"/>
      <c r="W46" s="249"/>
      <c r="X46" s="249"/>
      <c r="Y46" s="202"/>
    </row>
    <row r="47" spans="1:25" x14ac:dyDescent="0.25">
      <c r="A47" s="189">
        <f t="shared" si="2"/>
        <v>39</v>
      </c>
      <c r="B47" s="112">
        <f t="shared" si="0"/>
        <v>31949.75</v>
      </c>
      <c r="C47" s="112" t="s">
        <v>106</v>
      </c>
      <c r="D47" s="112">
        <f t="shared" si="1"/>
        <v>32761.75</v>
      </c>
      <c r="E47" s="245">
        <f>E45+1</f>
        <v>20</v>
      </c>
      <c r="F47" s="112">
        <f>32599-787.5+7*E47</f>
        <v>31951.5</v>
      </c>
      <c r="G47" s="55" t="s">
        <v>106</v>
      </c>
      <c r="H47" s="112">
        <f t="shared" si="3"/>
        <v>32763.5</v>
      </c>
      <c r="I47" s="245"/>
      <c r="J47" s="58"/>
      <c r="K47" s="55"/>
      <c r="L47" s="246"/>
      <c r="M47" s="245"/>
      <c r="N47" s="58"/>
      <c r="O47" s="58"/>
      <c r="P47" s="247"/>
      <c r="Q47" s="117"/>
      <c r="R47" s="249"/>
      <c r="S47" s="249"/>
      <c r="T47" s="247"/>
      <c r="U47" s="245"/>
      <c r="V47" s="249"/>
      <c r="W47" s="249"/>
      <c r="X47" s="249"/>
      <c r="Y47" s="524"/>
    </row>
    <row r="48" spans="1:25" x14ac:dyDescent="0.25">
      <c r="A48" s="189">
        <f t="shared" si="2"/>
        <v>40</v>
      </c>
      <c r="B48" s="112">
        <f t="shared" si="0"/>
        <v>31953.25</v>
      </c>
      <c r="C48" s="112" t="s">
        <v>106</v>
      </c>
      <c r="D48" s="112">
        <f t="shared" si="1"/>
        <v>32765.25</v>
      </c>
      <c r="E48" s="245"/>
      <c r="F48" s="58"/>
      <c r="G48" s="55"/>
      <c r="H48" s="112"/>
      <c r="I48" s="245"/>
      <c r="J48" s="58"/>
      <c r="K48" s="58"/>
      <c r="L48" s="247"/>
      <c r="M48" s="245"/>
      <c r="N48" s="58"/>
      <c r="O48" s="58"/>
      <c r="P48" s="247"/>
      <c r="Q48" s="117">
        <f>Q32+1</f>
        <v>2</v>
      </c>
      <c r="R48" s="112">
        <f>32599-756+56*Q48</f>
        <v>31955</v>
      </c>
      <c r="S48" s="55" t="s">
        <v>106</v>
      </c>
      <c r="T48" s="112">
        <f>32599+56+56*Q48</f>
        <v>32767</v>
      </c>
      <c r="U48" s="245"/>
      <c r="V48" s="249"/>
      <c r="W48" s="249"/>
      <c r="X48" s="249"/>
      <c r="Y48" s="360" t="s">
        <v>219</v>
      </c>
    </row>
    <row r="49" spans="1:25" x14ac:dyDescent="0.25">
      <c r="A49" s="189">
        <f t="shared" si="2"/>
        <v>41</v>
      </c>
      <c r="B49" s="112">
        <f t="shared" si="0"/>
        <v>31956.75</v>
      </c>
      <c r="C49" s="112" t="s">
        <v>106</v>
      </c>
      <c r="D49" s="112">
        <f t="shared" si="1"/>
        <v>32768.75</v>
      </c>
      <c r="E49" s="245">
        <f>E47+1</f>
        <v>21</v>
      </c>
      <c r="F49" s="112">
        <f>32599-787.5+7*E49</f>
        <v>31958.5</v>
      </c>
      <c r="G49" s="55" t="s">
        <v>106</v>
      </c>
      <c r="H49" s="112">
        <f t="shared" si="3"/>
        <v>32770.5</v>
      </c>
      <c r="I49" s="245"/>
      <c r="J49" s="58"/>
      <c r="K49" s="58"/>
      <c r="L49" s="247"/>
      <c r="M49" s="245"/>
      <c r="N49" s="58"/>
      <c r="O49" s="58"/>
      <c r="P49" s="247"/>
      <c r="Q49" s="117"/>
      <c r="R49" s="249"/>
      <c r="S49" s="249"/>
      <c r="T49" s="247"/>
      <c r="U49" s="245"/>
      <c r="V49" s="249"/>
      <c r="W49" s="249"/>
      <c r="X49" s="249"/>
      <c r="Y49" s="202"/>
    </row>
    <row r="50" spans="1:25" x14ac:dyDescent="0.25">
      <c r="A50" s="189">
        <f t="shared" si="2"/>
        <v>42</v>
      </c>
      <c r="B50" s="112">
        <f t="shared" si="0"/>
        <v>31960.25</v>
      </c>
      <c r="C50" s="112" t="s">
        <v>106</v>
      </c>
      <c r="D50" s="112">
        <f t="shared" si="1"/>
        <v>32772.25</v>
      </c>
      <c r="E50" s="245"/>
      <c r="F50" s="58"/>
      <c r="G50" s="55"/>
      <c r="H50" s="112"/>
      <c r="I50" s="245">
        <f>I46+1</f>
        <v>11</v>
      </c>
      <c r="J50" s="112">
        <f>32599-791+14*I50</f>
        <v>31962</v>
      </c>
      <c r="K50" s="55" t="s">
        <v>106</v>
      </c>
      <c r="L50" s="112">
        <f>32599+21+14*I50</f>
        <v>32774</v>
      </c>
      <c r="M50" s="245"/>
      <c r="N50" s="58"/>
      <c r="O50" s="58"/>
      <c r="P50" s="247"/>
      <c r="Q50" s="117"/>
      <c r="R50" s="249"/>
      <c r="S50" s="249"/>
      <c r="T50" s="247"/>
      <c r="U50" s="245"/>
      <c r="V50" s="249"/>
      <c r="W50" s="249"/>
      <c r="X50" s="249"/>
      <c r="Y50" s="202"/>
    </row>
    <row r="51" spans="1:25" x14ac:dyDescent="0.25">
      <c r="A51" s="189">
        <f t="shared" si="2"/>
        <v>43</v>
      </c>
      <c r="B51" s="112">
        <f t="shared" si="0"/>
        <v>31963.75</v>
      </c>
      <c r="C51" s="112" t="s">
        <v>106</v>
      </c>
      <c r="D51" s="112">
        <f t="shared" si="1"/>
        <v>32775.75</v>
      </c>
      <c r="E51" s="245">
        <f>E49+1</f>
        <v>22</v>
      </c>
      <c r="F51" s="112">
        <f>32599-787.5+7*E51</f>
        <v>31965.5</v>
      </c>
      <c r="G51" s="55" t="s">
        <v>106</v>
      </c>
      <c r="H51" s="112">
        <f t="shared" si="3"/>
        <v>32777.5</v>
      </c>
      <c r="I51" s="245"/>
      <c r="J51" s="58"/>
      <c r="K51" s="55"/>
      <c r="L51" s="246"/>
      <c r="M51" s="245"/>
      <c r="N51" s="58"/>
      <c r="O51" s="58"/>
      <c r="P51" s="247"/>
      <c r="Q51" s="117"/>
      <c r="R51" s="250"/>
      <c r="S51" s="249"/>
      <c r="T51" s="251"/>
      <c r="U51" s="245"/>
      <c r="V51" s="249"/>
      <c r="W51" s="249"/>
      <c r="X51" s="249"/>
      <c r="Y51" s="202"/>
    </row>
    <row r="52" spans="1:25" x14ac:dyDescent="0.25">
      <c r="A52" s="189">
        <f t="shared" si="2"/>
        <v>44</v>
      </c>
      <c r="B52" s="112">
        <f t="shared" si="0"/>
        <v>31967.25</v>
      </c>
      <c r="C52" s="112" t="s">
        <v>106</v>
      </c>
      <c r="D52" s="112">
        <f t="shared" si="1"/>
        <v>32779.25</v>
      </c>
      <c r="E52" s="245"/>
      <c r="F52" s="58"/>
      <c r="G52" s="55"/>
      <c r="H52" s="112"/>
      <c r="I52" s="245"/>
      <c r="J52" s="58"/>
      <c r="K52" s="58"/>
      <c r="L52" s="247"/>
      <c r="M52" s="245">
        <f>M44+1</f>
        <v>6</v>
      </c>
      <c r="N52" s="112">
        <f>32599-798+28*M52</f>
        <v>31969</v>
      </c>
      <c r="O52" s="55" t="s">
        <v>106</v>
      </c>
      <c r="P52" s="246">
        <f>32599+14+28*M52</f>
        <v>32781</v>
      </c>
      <c r="Q52" s="117"/>
      <c r="R52" s="249"/>
      <c r="S52" s="249"/>
      <c r="T52" s="247"/>
      <c r="U52" s="245"/>
      <c r="V52" s="249"/>
      <c r="W52" s="249"/>
      <c r="X52" s="249"/>
      <c r="Y52" s="202"/>
    </row>
    <row r="53" spans="1:25" x14ac:dyDescent="0.25">
      <c r="A53" s="189">
        <f t="shared" si="2"/>
        <v>45</v>
      </c>
      <c r="B53" s="112">
        <f t="shared" si="0"/>
        <v>31970.75</v>
      </c>
      <c r="C53" s="112" t="s">
        <v>106</v>
      </c>
      <c r="D53" s="112">
        <f t="shared" si="1"/>
        <v>32782.75</v>
      </c>
      <c r="E53" s="245">
        <f>E51+1</f>
        <v>23</v>
      </c>
      <c r="F53" s="112">
        <f>32599-787.5+7*E53</f>
        <v>31972.5</v>
      </c>
      <c r="G53" s="55" t="s">
        <v>106</v>
      </c>
      <c r="H53" s="112">
        <f t="shared" si="3"/>
        <v>32784.5</v>
      </c>
      <c r="I53" s="245"/>
      <c r="J53" s="58"/>
      <c r="K53" s="58"/>
      <c r="L53" s="247"/>
      <c r="M53" s="245"/>
      <c r="N53" s="58"/>
      <c r="O53" s="58"/>
      <c r="P53" s="246"/>
      <c r="Q53" s="117"/>
      <c r="R53" s="249"/>
      <c r="S53" s="249"/>
      <c r="T53" s="247"/>
      <c r="U53" s="245"/>
      <c r="V53" s="249"/>
      <c r="W53" s="249"/>
      <c r="X53" s="249"/>
      <c r="Y53" s="202"/>
    </row>
    <row r="54" spans="1:25" x14ac:dyDescent="0.25">
      <c r="A54" s="189">
        <f t="shared" si="2"/>
        <v>46</v>
      </c>
      <c r="B54" s="112">
        <f t="shared" si="0"/>
        <v>31974.25</v>
      </c>
      <c r="C54" s="112" t="s">
        <v>106</v>
      </c>
      <c r="D54" s="112">
        <f t="shared" si="1"/>
        <v>32786.25</v>
      </c>
      <c r="E54" s="245"/>
      <c r="F54" s="58"/>
      <c r="G54" s="55"/>
      <c r="H54" s="112"/>
      <c r="I54" s="245">
        <f>I50+1</f>
        <v>12</v>
      </c>
      <c r="J54" s="112">
        <f>32599-791+14*I54</f>
        <v>31976</v>
      </c>
      <c r="K54" s="55" t="s">
        <v>106</v>
      </c>
      <c r="L54" s="112">
        <f>32599+21+14*I54</f>
        <v>32788</v>
      </c>
      <c r="M54" s="245"/>
      <c r="N54" s="58"/>
      <c r="O54" s="58"/>
      <c r="P54" s="247"/>
      <c r="Q54" s="117"/>
      <c r="R54" s="250"/>
      <c r="S54" s="250"/>
      <c r="T54" s="251"/>
      <c r="U54" s="245"/>
      <c r="V54" s="249"/>
      <c r="W54" s="249"/>
      <c r="X54" s="249"/>
      <c r="Y54" s="202"/>
    </row>
    <row r="55" spans="1:25" x14ac:dyDescent="0.25">
      <c r="A55" s="189">
        <f t="shared" si="2"/>
        <v>47</v>
      </c>
      <c r="B55" s="112">
        <f t="shared" si="0"/>
        <v>31977.75</v>
      </c>
      <c r="C55" s="112" t="s">
        <v>106</v>
      </c>
      <c r="D55" s="112">
        <f t="shared" si="1"/>
        <v>32789.75</v>
      </c>
      <c r="E55" s="245">
        <f>E53+1</f>
        <v>24</v>
      </c>
      <c r="F55" s="112">
        <f>32599-787.5+7*E55</f>
        <v>31979.5</v>
      </c>
      <c r="G55" s="55" t="s">
        <v>106</v>
      </c>
      <c r="H55" s="112">
        <f t="shared" si="3"/>
        <v>32791.5</v>
      </c>
      <c r="I55" s="245"/>
      <c r="J55" s="58"/>
      <c r="K55" s="55"/>
      <c r="L55" s="246"/>
      <c r="M55" s="245"/>
      <c r="N55" s="58"/>
      <c r="O55" s="58"/>
      <c r="P55" s="247"/>
      <c r="Q55" s="117"/>
      <c r="R55" s="249"/>
      <c r="S55" s="249"/>
      <c r="T55" s="247"/>
      <c r="U55" s="245"/>
      <c r="V55" s="249"/>
      <c r="W55" s="249"/>
      <c r="X55" s="249"/>
      <c r="Y55" s="202"/>
    </row>
    <row r="56" spans="1:25" ht="15.75" thickBot="1" x14ac:dyDescent="0.3">
      <c r="A56" s="519">
        <f t="shared" si="2"/>
        <v>48</v>
      </c>
      <c r="B56" s="371">
        <f t="shared" si="0"/>
        <v>31981.25</v>
      </c>
      <c r="C56" s="371" t="s">
        <v>106</v>
      </c>
      <c r="D56" s="371">
        <f t="shared" si="1"/>
        <v>32793.25</v>
      </c>
      <c r="E56" s="374"/>
      <c r="F56" s="371"/>
      <c r="G56" s="372"/>
      <c r="H56" s="371"/>
      <c r="I56" s="374"/>
      <c r="J56" s="371"/>
      <c r="K56" s="68"/>
      <c r="L56" s="251"/>
      <c r="M56" s="254"/>
      <c r="N56" s="68"/>
      <c r="O56" s="371"/>
      <c r="P56" s="373"/>
      <c r="Q56" s="522"/>
      <c r="R56" s="250"/>
      <c r="S56" s="250"/>
      <c r="T56" s="251"/>
      <c r="U56" s="198"/>
      <c r="V56" s="112"/>
      <c r="W56" s="200"/>
      <c r="X56" s="112"/>
      <c r="Y56" s="346"/>
    </row>
    <row r="57" spans="1:25" ht="15.75" thickTop="1" x14ac:dyDescent="0.25">
      <c r="A57" s="244">
        <f t="shared" si="2"/>
        <v>49</v>
      </c>
      <c r="B57" s="112">
        <f t="shared" si="0"/>
        <v>31984.75</v>
      </c>
      <c r="C57" s="112" t="s">
        <v>106</v>
      </c>
      <c r="D57" s="112">
        <f t="shared" si="1"/>
        <v>32796.75</v>
      </c>
      <c r="E57" s="324">
        <f>E55+1</f>
        <v>25</v>
      </c>
      <c r="F57" s="112">
        <f>32599-787.5+7*E57</f>
        <v>31986.5</v>
      </c>
      <c r="G57" s="119" t="s">
        <v>106</v>
      </c>
      <c r="H57" s="112">
        <f t="shared" si="3"/>
        <v>32798.5</v>
      </c>
      <c r="I57" s="324"/>
      <c r="J57" s="112"/>
      <c r="K57" s="298"/>
      <c r="L57" s="325"/>
      <c r="M57" s="326"/>
      <c r="N57" s="298"/>
      <c r="O57" s="112"/>
      <c r="P57" s="327"/>
      <c r="Q57" s="523"/>
      <c r="R57" s="348"/>
      <c r="S57" s="348"/>
      <c r="T57" s="325"/>
      <c r="U57" s="657"/>
      <c r="V57" s="660"/>
      <c r="W57" s="660"/>
      <c r="X57" s="660"/>
      <c r="Y57" s="328"/>
    </row>
    <row r="58" spans="1:25" x14ac:dyDescent="0.25">
      <c r="A58" s="189">
        <f t="shared" si="2"/>
        <v>50</v>
      </c>
      <c r="B58" s="112">
        <f t="shared" si="0"/>
        <v>31988.25</v>
      </c>
      <c r="C58" s="112" t="s">
        <v>106</v>
      </c>
      <c r="D58" s="112">
        <f t="shared" si="1"/>
        <v>32800.25</v>
      </c>
      <c r="E58" s="245"/>
      <c r="F58" s="58"/>
      <c r="G58" s="55"/>
      <c r="H58" s="112"/>
      <c r="I58" s="245">
        <f>I54+1</f>
        <v>13</v>
      </c>
      <c r="J58" s="112">
        <f>32599-791+14*I58</f>
        <v>31990</v>
      </c>
      <c r="K58" s="55" t="s">
        <v>106</v>
      </c>
      <c r="L58" s="112">
        <f>32599+21+14*I58</f>
        <v>32802</v>
      </c>
      <c r="M58" s="245"/>
      <c r="N58" s="58"/>
      <c r="O58" s="58"/>
      <c r="P58" s="247"/>
      <c r="Q58" s="117"/>
      <c r="R58" s="249"/>
      <c r="S58" s="249"/>
      <c r="T58" s="247"/>
      <c r="U58" s="619"/>
      <c r="V58" s="624"/>
      <c r="W58" s="624"/>
      <c r="X58" s="624"/>
      <c r="Y58" s="202"/>
    </row>
    <row r="59" spans="1:25" x14ac:dyDescent="0.25">
      <c r="A59" s="189">
        <f t="shared" si="2"/>
        <v>51</v>
      </c>
      <c r="B59" s="112">
        <f t="shared" si="0"/>
        <v>31991.75</v>
      </c>
      <c r="C59" s="112" t="s">
        <v>106</v>
      </c>
      <c r="D59" s="112">
        <f t="shared" si="1"/>
        <v>32803.75</v>
      </c>
      <c r="E59" s="245">
        <f>E57+1</f>
        <v>26</v>
      </c>
      <c r="F59" s="112">
        <f>32599-787.5+7*E59</f>
        <v>31993.5</v>
      </c>
      <c r="G59" s="55" t="s">
        <v>106</v>
      </c>
      <c r="H59" s="112">
        <f t="shared" si="3"/>
        <v>32805.5</v>
      </c>
      <c r="I59" s="245"/>
      <c r="J59" s="58"/>
      <c r="K59" s="55"/>
      <c r="L59" s="246"/>
      <c r="M59" s="245"/>
      <c r="N59" s="58"/>
      <c r="O59" s="58"/>
      <c r="P59" s="247"/>
      <c r="Q59" s="117"/>
      <c r="R59" s="249"/>
      <c r="S59" s="249"/>
      <c r="T59" s="247"/>
      <c r="U59" s="619"/>
      <c r="V59" s="624"/>
      <c r="W59" s="624"/>
      <c r="X59" s="624"/>
      <c r="Y59" s="202"/>
    </row>
    <row r="60" spans="1:25" x14ac:dyDescent="0.25">
      <c r="A60" s="189">
        <f t="shared" si="2"/>
        <v>52</v>
      </c>
      <c r="B60" s="112">
        <f t="shared" si="0"/>
        <v>31995.25</v>
      </c>
      <c r="C60" s="112" t="s">
        <v>106</v>
      </c>
      <c r="D60" s="112">
        <f t="shared" si="1"/>
        <v>32807.25</v>
      </c>
      <c r="E60" s="245"/>
      <c r="F60" s="58"/>
      <c r="G60" s="55"/>
      <c r="H60" s="112"/>
      <c r="I60" s="245"/>
      <c r="J60" s="58"/>
      <c r="K60" s="58"/>
      <c r="L60" s="247"/>
      <c r="M60" s="245">
        <f>M52+1</f>
        <v>7</v>
      </c>
      <c r="N60" s="112">
        <f>32599-798+28*M60</f>
        <v>31997</v>
      </c>
      <c r="O60" s="55" t="s">
        <v>106</v>
      </c>
      <c r="P60" s="246">
        <f>32599+14+28*M60</f>
        <v>32809</v>
      </c>
      <c r="Q60" s="117"/>
      <c r="R60" s="58"/>
      <c r="S60" s="55"/>
      <c r="T60" s="246"/>
      <c r="U60" s="619"/>
      <c r="V60" s="618"/>
      <c r="W60" s="620"/>
      <c r="X60" s="620"/>
      <c r="Y60" s="202"/>
    </row>
    <row r="61" spans="1:25" x14ac:dyDescent="0.25">
      <c r="A61" s="189">
        <f t="shared" si="2"/>
        <v>53</v>
      </c>
      <c r="B61" s="112">
        <f t="shared" si="0"/>
        <v>31998.75</v>
      </c>
      <c r="C61" s="112" t="s">
        <v>106</v>
      </c>
      <c r="D61" s="112">
        <f t="shared" si="1"/>
        <v>32810.75</v>
      </c>
      <c r="E61" s="245">
        <f>E59+1</f>
        <v>27</v>
      </c>
      <c r="F61" s="112">
        <f>32599-787.5+7*E61</f>
        <v>32000.5</v>
      </c>
      <c r="G61" s="55" t="s">
        <v>106</v>
      </c>
      <c r="H61" s="112">
        <f t="shared" si="3"/>
        <v>32812.5</v>
      </c>
      <c r="I61" s="245"/>
      <c r="J61" s="58"/>
      <c r="K61" s="58"/>
      <c r="L61" s="247"/>
      <c r="M61" s="245"/>
      <c r="N61" s="58"/>
      <c r="O61" s="58"/>
      <c r="P61" s="247"/>
      <c r="Q61" s="117"/>
      <c r="R61" s="249"/>
      <c r="S61" s="249"/>
      <c r="T61" s="247"/>
      <c r="U61" s="619"/>
      <c r="V61" s="624"/>
      <c r="W61" s="624"/>
      <c r="X61" s="624"/>
      <c r="Y61" s="202"/>
    </row>
    <row r="62" spans="1:25" x14ac:dyDescent="0.25">
      <c r="A62" s="189">
        <f t="shared" si="2"/>
        <v>54</v>
      </c>
      <c r="B62" s="112">
        <f t="shared" si="0"/>
        <v>32002.25</v>
      </c>
      <c r="C62" s="112" t="s">
        <v>106</v>
      </c>
      <c r="D62" s="112">
        <f t="shared" si="1"/>
        <v>32814.25</v>
      </c>
      <c r="E62" s="245"/>
      <c r="F62" s="58"/>
      <c r="G62" s="55"/>
      <c r="H62" s="112"/>
      <c r="I62" s="245">
        <f>I58+1</f>
        <v>14</v>
      </c>
      <c r="J62" s="112">
        <f>32599-791+14*I62</f>
        <v>32004</v>
      </c>
      <c r="K62" s="55" t="s">
        <v>106</v>
      </c>
      <c r="L62" s="112">
        <f>32599+21+14*I62</f>
        <v>32816</v>
      </c>
      <c r="M62" s="245"/>
      <c r="N62" s="58"/>
      <c r="O62" s="58"/>
      <c r="P62" s="247"/>
      <c r="Q62" s="117"/>
      <c r="R62" s="249"/>
      <c r="S62" s="249"/>
      <c r="T62" s="247"/>
      <c r="U62" s="619"/>
      <c r="V62" s="624"/>
      <c r="W62" s="624"/>
      <c r="X62" s="624"/>
      <c r="Y62" s="202"/>
    </row>
    <row r="63" spans="1:25" x14ac:dyDescent="0.25">
      <c r="A63" s="189">
        <f t="shared" si="2"/>
        <v>55</v>
      </c>
      <c r="B63" s="112">
        <f t="shared" si="0"/>
        <v>32005.75</v>
      </c>
      <c r="C63" s="112" t="s">
        <v>106</v>
      </c>
      <c r="D63" s="112">
        <f t="shared" si="1"/>
        <v>32817.75</v>
      </c>
      <c r="E63" s="245">
        <f>E61+1</f>
        <v>28</v>
      </c>
      <c r="F63" s="112">
        <f>32599-787.5+7*E63</f>
        <v>32007.5</v>
      </c>
      <c r="G63" s="55" t="s">
        <v>106</v>
      </c>
      <c r="H63" s="112">
        <f t="shared" si="3"/>
        <v>32819.5</v>
      </c>
      <c r="I63" s="245"/>
      <c r="J63" s="58"/>
      <c r="K63" s="55"/>
      <c r="L63" s="246"/>
      <c r="M63" s="245"/>
      <c r="N63" s="58"/>
      <c r="O63" s="58"/>
      <c r="P63" s="247"/>
      <c r="Q63" s="117"/>
      <c r="R63" s="249"/>
      <c r="S63" s="249"/>
      <c r="T63" s="247"/>
      <c r="U63" s="619"/>
      <c r="V63" s="624"/>
      <c r="W63" s="624"/>
      <c r="X63" s="624"/>
      <c r="Y63" s="202"/>
    </row>
    <row r="64" spans="1:25" x14ac:dyDescent="0.25">
      <c r="A64" s="189">
        <f t="shared" si="2"/>
        <v>56</v>
      </c>
      <c r="B64" s="112">
        <f t="shared" si="0"/>
        <v>32009.25</v>
      </c>
      <c r="C64" s="112" t="s">
        <v>106</v>
      </c>
      <c r="D64" s="112">
        <f t="shared" si="1"/>
        <v>32821.25</v>
      </c>
      <c r="E64" s="245"/>
      <c r="F64" s="58"/>
      <c r="G64" s="55"/>
      <c r="H64" s="112"/>
      <c r="I64" s="245"/>
      <c r="J64" s="58"/>
      <c r="K64" s="58"/>
      <c r="L64" s="247"/>
      <c r="M64" s="245"/>
      <c r="N64" s="58"/>
      <c r="O64" s="58"/>
      <c r="P64" s="247"/>
      <c r="Q64" s="117">
        <f>Q48+1</f>
        <v>3</v>
      </c>
      <c r="R64" s="112">
        <f>32599-756+56*Q64</f>
        <v>32011</v>
      </c>
      <c r="S64" s="55" t="s">
        <v>106</v>
      </c>
      <c r="T64" s="112">
        <f>32599+56+56*Q64</f>
        <v>32823</v>
      </c>
      <c r="U64" s="619"/>
      <c r="V64" s="624"/>
      <c r="W64" s="624"/>
      <c r="X64" s="624"/>
      <c r="Y64" s="360" t="s">
        <v>219</v>
      </c>
    </row>
    <row r="65" spans="1:25" x14ac:dyDescent="0.25">
      <c r="A65" s="189">
        <f t="shared" si="2"/>
        <v>57</v>
      </c>
      <c r="B65" s="112">
        <f t="shared" si="0"/>
        <v>32012.75</v>
      </c>
      <c r="C65" s="112" t="s">
        <v>106</v>
      </c>
      <c r="D65" s="112">
        <f t="shared" si="1"/>
        <v>32824.75</v>
      </c>
      <c r="E65" s="245">
        <f>E63+1</f>
        <v>29</v>
      </c>
      <c r="F65" s="112">
        <f>32599-787.5+7*E65</f>
        <v>32014.5</v>
      </c>
      <c r="G65" s="55" t="s">
        <v>106</v>
      </c>
      <c r="H65" s="112">
        <f t="shared" si="3"/>
        <v>32826.5</v>
      </c>
      <c r="I65" s="245"/>
      <c r="J65" s="58"/>
      <c r="K65" s="58"/>
      <c r="L65" s="247"/>
      <c r="M65" s="245"/>
      <c r="N65" s="58"/>
      <c r="O65" s="58"/>
      <c r="P65" s="247"/>
      <c r="Q65" s="117"/>
      <c r="R65" s="249"/>
      <c r="S65" s="249"/>
      <c r="T65" s="247"/>
      <c r="U65" s="619"/>
      <c r="V65" s="624"/>
      <c r="W65" s="624"/>
      <c r="X65" s="624"/>
      <c r="Y65" s="202"/>
    </row>
    <row r="66" spans="1:25" x14ac:dyDescent="0.25">
      <c r="A66" s="189">
        <f t="shared" si="2"/>
        <v>58</v>
      </c>
      <c r="B66" s="112">
        <f t="shared" si="0"/>
        <v>32016.25</v>
      </c>
      <c r="C66" s="112" t="s">
        <v>106</v>
      </c>
      <c r="D66" s="112">
        <f t="shared" si="1"/>
        <v>32828.25</v>
      </c>
      <c r="E66" s="245"/>
      <c r="F66" s="58"/>
      <c r="G66" s="55"/>
      <c r="H66" s="112"/>
      <c r="I66" s="245">
        <f>I62+1</f>
        <v>15</v>
      </c>
      <c r="J66" s="112">
        <f>32599-791+14*I66</f>
        <v>32018</v>
      </c>
      <c r="K66" s="55" t="s">
        <v>106</v>
      </c>
      <c r="L66" s="112">
        <f>32599+21+14*I66</f>
        <v>32830</v>
      </c>
      <c r="M66" s="245"/>
      <c r="N66" s="58"/>
      <c r="O66" s="58"/>
      <c r="P66" s="247"/>
      <c r="Q66" s="117"/>
      <c r="R66" s="249"/>
      <c r="S66" s="249"/>
      <c r="T66" s="247"/>
      <c r="U66" s="619"/>
      <c r="V66" s="624"/>
      <c r="W66" s="624"/>
      <c r="X66" s="624"/>
      <c r="Y66" s="202"/>
    </row>
    <row r="67" spans="1:25" x14ac:dyDescent="0.25">
      <c r="A67" s="189">
        <f t="shared" si="2"/>
        <v>59</v>
      </c>
      <c r="B67" s="112">
        <f t="shared" si="0"/>
        <v>32019.75</v>
      </c>
      <c r="C67" s="112" t="s">
        <v>106</v>
      </c>
      <c r="D67" s="112">
        <f t="shared" si="1"/>
        <v>32831.75</v>
      </c>
      <c r="E67" s="245">
        <f>E65+1</f>
        <v>30</v>
      </c>
      <c r="F67" s="112">
        <f>32599-787.5+7*E67</f>
        <v>32021.5</v>
      </c>
      <c r="G67" s="55" t="s">
        <v>106</v>
      </c>
      <c r="H67" s="112">
        <f t="shared" si="3"/>
        <v>32833.5</v>
      </c>
      <c r="I67" s="245"/>
      <c r="J67" s="58"/>
      <c r="K67" s="55"/>
      <c r="L67" s="246"/>
      <c r="M67" s="245"/>
      <c r="N67" s="58"/>
      <c r="O67" s="58"/>
      <c r="P67" s="247"/>
      <c r="Q67" s="117"/>
      <c r="R67" s="250"/>
      <c r="S67" s="249"/>
      <c r="T67" s="251"/>
      <c r="U67" s="619"/>
      <c r="V67" s="624"/>
      <c r="W67" s="624"/>
      <c r="X67" s="624"/>
      <c r="Y67" s="202"/>
    </row>
    <row r="68" spans="1:25" x14ac:dyDescent="0.25">
      <c r="A68" s="189">
        <f t="shared" si="2"/>
        <v>60</v>
      </c>
      <c r="B68" s="112">
        <f t="shared" si="0"/>
        <v>32023.25</v>
      </c>
      <c r="C68" s="112" t="s">
        <v>106</v>
      </c>
      <c r="D68" s="112">
        <f t="shared" si="1"/>
        <v>32835.25</v>
      </c>
      <c r="E68" s="245"/>
      <c r="F68" s="58"/>
      <c r="G68" s="55"/>
      <c r="H68" s="112"/>
      <c r="I68" s="245"/>
      <c r="J68" s="58"/>
      <c r="K68" s="58"/>
      <c r="L68" s="247"/>
      <c r="M68" s="245">
        <f>M60+1</f>
        <v>8</v>
      </c>
      <c r="N68" s="112">
        <f>32599-798+28*M68</f>
        <v>32025</v>
      </c>
      <c r="O68" s="55" t="s">
        <v>106</v>
      </c>
      <c r="P68" s="246">
        <f>32599+14+28*M68</f>
        <v>32837</v>
      </c>
      <c r="Q68" s="117"/>
      <c r="R68" s="249"/>
      <c r="S68" s="249"/>
      <c r="T68" s="247"/>
      <c r="U68" s="619"/>
      <c r="V68" s="538"/>
      <c r="W68" s="620"/>
      <c r="X68" s="620"/>
      <c r="Y68" s="202"/>
    </row>
    <row r="69" spans="1:25" x14ac:dyDescent="0.25">
      <c r="A69" s="189">
        <f t="shared" si="2"/>
        <v>61</v>
      </c>
      <c r="B69" s="112">
        <f t="shared" si="0"/>
        <v>32026.75</v>
      </c>
      <c r="C69" s="112" t="s">
        <v>106</v>
      </c>
      <c r="D69" s="112">
        <f t="shared" si="1"/>
        <v>32838.75</v>
      </c>
      <c r="E69" s="245">
        <f>E67+1</f>
        <v>31</v>
      </c>
      <c r="F69" s="112">
        <f>32599-787.5+7*E69</f>
        <v>32028.5</v>
      </c>
      <c r="G69" s="55" t="s">
        <v>106</v>
      </c>
      <c r="H69" s="112">
        <f t="shared" si="3"/>
        <v>32840.5</v>
      </c>
      <c r="I69" s="245"/>
      <c r="J69" s="58"/>
      <c r="K69" s="58"/>
      <c r="L69" s="247"/>
      <c r="M69" s="245"/>
      <c r="N69" s="58"/>
      <c r="O69" s="58"/>
      <c r="P69" s="247"/>
      <c r="Q69" s="117"/>
      <c r="R69" s="249"/>
      <c r="S69" s="249"/>
      <c r="T69" s="247"/>
      <c r="U69" s="619"/>
      <c r="V69" s="624"/>
      <c r="W69" s="624"/>
      <c r="X69" s="624"/>
      <c r="Y69" s="202"/>
    </row>
    <row r="70" spans="1:25" x14ac:dyDescent="0.25">
      <c r="A70" s="189">
        <f t="shared" si="2"/>
        <v>62</v>
      </c>
      <c r="B70" s="112">
        <f t="shared" si="0"/>
        <v>32030.25</v>
      </c>
      <c r="C70" s="112" t="s">
        <v>106</v>
      </c>
      <c r="D70" s="112">
        <f t="shared" si="1"/>
        <v>32842.25</v>
      </c>
      <c r="E70" s="245"/>
      <c r="F70" s="58"/>
      <c r="G70" s="55"/>
      <c r="H70" s="112"/>
      <c r="I70" s="245">
        <f>I66+1</f>
        <v>16</v>
      </c>
      <c r="J70" s="112">
        <f>32599-791+14*I70</f>
        <v>32032</v>
      </c>
      <c r="K70" s="55" t="s">
        <v>106</v>
      </c>
      <c r="L70" s="112">
        <f>32599+21+14*I70</f>
        <v>32844</v>
      </c>
      <c r="M70" s="245"/>
      <c r="N70" s="58"/>
      <c r="O70" s="58"/>
      <c r="P70" s="247"/>
      <c r="Q70" s="117"/>
      <c r="R70" s="250"/>
      <c r="S70" s="250"/>
      <c r="T70" s="251"/>
      <c r="U70" s="619"/>
      <c r="V70" s="624"/>
      <c r="W70" s="624"/>
      <c r="X70" s="624"/>
      <c r="Y70" s="202"/>
    </row>
    <row r="71" spans="1:25" x14ac:dyDescent="0.25">
      <c r="A71" s="189">
        <f t="shared" si="2"/>
        <v>63</v>
      </c>
      <c r="B71" s="112">
        <f t="shared" si="0"/>
        <v>32033.75</v>
      </c>
      <c r="C71" s="112" t="s">
        <v>106</v>
      </c>
      <c r="D71" s="112">
        <f t="shared" si="1"/>
        <v>32845.75</v>
      </c>
      <c r="E71" s="245">
        <f>E69+1</f>
        <v>32</v>
      </c>
      <c r="F71" s="112">
        <f>32599-787.5+7*E71</f>
        <v>32035.5</v>
      </c>
      <c r="G71" s="55" t="s">
        <v>106</v>
      </c>
      <c r="H71" s="112">
        <f t="shared" si="3"/>
        <v>32847.5</v>
      </c>
      <c r="I71" s="245"/>
      <c r="J71" s="58"/>
      <c r="K71" s="55"/>
      <c r="L71" s="246"/>
      <c r="M71" s="245"/>
      <c r="N71" s="58"/>
      <c r="O71" s="58"/>
      <c r="P71" s="247"/>
      <c r="Q71" s="117"/>
      <c r="R71" s="249"/>
      <c r="S71" s="249"/>
      <c r="T71" s="247"/>
      <c r="U71" s="619"/>
      <c r="V71" s="624"/>
      <c r="W71" s="624"/>
      <c r="X71" s="624"/>
      <c r="Y71" s="202"/>
    </row>
    <row r="72" spans="1:25" ht="15.75" thickBot="1" x14ac:dyDescent="0.3">
      <c r="A72" s="519">
        <f t="shared" si="2"/>
        <v>64</v>
      </c>
      <c r="B72" s="371">
        <f t="shared" si="0"/>
        <v>32037.25</v>
      </c>
      <c r="C72" s="371" t="s">
        <v>106</v>
      </c>
      <c r="D72" s="371">
        <f t="shared" si="1"/>
        <v>32849.25</v>
      </c>
      <c r="E72" s="374"/>
      <c r="F72" s="371"/>
      <c r="G72" s="372"/>
      <c r="H72" s="371"/>
      <c r="I72" s="374"/>
      <c r="J72" s="371"/>
      <c r="K72" s="68"/>
      <c r="L72" s="251"/>
      <c r="M72" s="254"/>
      <c r="N72" s="68"/>
      <c r="O72" s="371"/>
      <c r="P72" s="373"/>
      <c r="Q72" s="521"/>
      <c r="R72" s="250"/>
      <c r="S72" s="250"/>
      <c r="T72" s="251"/>
      <c r="U72" s="645"/>
      <c r="V72" s="691"/>
      <c r="W72" s="691"/>
      <c r="X72" s="692"/>
      <c r="Y72" s="346"/>
    </row>
    <row r="73" spans="1:25" ht="15.75" thickTop="1" x14ac:dyDescent="0.25">
      <c r="A73" s="652">
        <f t="shared" si="2"/>
        <v>65</v>
      </c>
      <c r="B73" s="617">
        <f t="shared" si="0"/>
        <v>32040.75</v>
      </c>
      <c r="C73" s="617" t="s">
        <v>106</v>
      </c>
      <c r="D73" s="617">
        <f t="shared" si="1"/>
        <v>32852.75</v>
      </c>
      <c r="E73" s="653">
        <f>E71+1</f>
        <v>33</v>
      </c>
      <c r="F73" s="617">
        <f>32599-787.5+7*E73</f>
        <v>32042.5</v>
      </c>
      <c r="G73" s="654" t="s">
        <v>106</v>
      </c>
      <c r="H73" s="617">
        <f t="shared" si="3"/>
        <v>32854.5</v>
      </c>
      <c r="I73" s="653"/>
      <c r="J73" s="617"/>
      <c r="K73" s="655"/>
      <c r="L73" s="656"/>
      <c r="M73" s="657"/>
      <c r="N73" s="655"/>
      <c r="O73" s="617"/>
      <c r="P73" s="658"/>
      <c r="Q73" s="659"/>
      <c r="R73" s="660"/>
      <c r="S73" s="660"/>
      <c r="T73" s="656"/>
      <c r="U73" s="657">
        <v>2</v>
      </c>
      <c r="V73" s="661">
        <f>32599-784+112*U73</f>
        <v>32039</v>
      </c>
      <c r="W73" s="661" t="s">
        <v>106</v>
      </c>
      <c r="X73" s="661">
        <f>32599+28+112*U73</f>
        <v>32851</v>
      </c>
      <c r="Y73" s="662"/>
    </row>
    <row r="74" spans="1:25" x14ac:dyDescent="0.25">
      <c r="A74" s="606">
        <f t="shared" si="2"/>
        <v>66</v>
      </c>
      <c r="B74" s="617">
        <f t="shared" ref="B74:B137" si="4">32599-785.75+3.5*A74</f>
        <v>32044.25</v>
      </c>
      <c r="C74" s="617" t="s">
        <v>106</v>
      </c>
      <c r="D74" s="617">
        <f t="shared" ref="D74:D137" si="5">32599+26.25+3.5*A74</f>
        <v>32856.25</v>
      </c>
      <c r="E74" s="619"/>
      <c r="F74" s="618"/>
      <c r="G74" s="620"/>
      <c r="H74" s="617"/>
      <c r="I74" s="619">
        <f>I70+1</f>
        <v>17</v>
      </c>
      <c r="J74" s="617">
        <f>32599-791+14*I74</f>
        <v>32046</v>
      </c>
      <c r="K74" s="620" t="s">
        <v>106</v>
      </c>
      <c r="L74" s="617">
        <f>32599+21+14*I74</f>
        <v>32858</v>
      </c>
      <c r="M74" s="619"/>
      <c r="N74" s="618"/>
      <c r="O74" s="618"/>
      <c r="P74" s="622"/>
      <c r="Q74" s="663"/>
      <c r="R74" s="624"/>
      <c r="S74" s="624"/>
      <c r="T74" s="622"/>
      <c r="U74" s="619"/>
      <c r="V74" s="624"/>
      <c r="W74" s="624"/>
      <c r="X74" s="624"/>
      <c r="Y74" s="636"/>
    </row>
    <row r="75" spans="1:25" x14ac:dyDescent="0.25">
      <c r="A75" s="606">
        <f>A74+1</f>
        <v>67</v>
      </c>
      <c r="B75" s="617">
        <f t="shared" si="4"/>
        <v>32047.75</v>
      </c>
      <c r="C75" s="617" t="s">
        <v>106</v>
      </c>
      <c r="D75" s="617">
        <f t="shared" si="5"/>
        <v>32859.75</v>
      </c>
      <c r="E75" s="619">
        <f>E73+1</f>
        <v>34</v>
      </c>
      <c r="F75" s="617">
        <f>32599-787.5+7*E75</f>
        <v>32049.5</v>
      </c>
      <c r="G75" s="620" t="s">
        <v>106</v>
      </c>
      <c r="H75" s="617">
        <f t="shared" ref="H75:H137" si="6">32599+24.5+7*E75</f>
        <v>32861.5</v>
      </c>
      <c r="I75" s="619"/>
      <c r="J75" s="618"/>
      <c r="K75" s="620"/>
      <c r="L75" s="621"/>
      <c r="M75" s="619"/>
      <c r="N75" s="618"/>
      <c r="O75" s="618"/>
      <c r="P75" s="622"/>
      <c r="Q75" s="663"/>
      <c r="R75" s="624"/>
      <c r="S75" s="624"/>
      <c r="T75" s="622"/>
      <c r="U75" s="619"/>
      <c r="V75" s="624"/>
      <c r="W75" s="624"/>
      <c r="X75" s="624"/>
      <c r="Y75" s="636"/>
    </row>
    <row r="76" spans="1:25" x14ac:dyDescent="0.25">
      <c r="A76" s="606">
        <f>A75+1</f>
        <v>68</v>
      </c>
      <c r="B76" s="617">
        <f t="shared" si="4"/>
        <v>32051.25</v>
      </c>
      <c r="C76" s="617" t="s">
        <v>106</v>
      </c>
      <c r="D76" s="617">
        <f t="shared" si="5"/>
        <v>32863.25</v>
      </c>
      <c r="E76" s="619"/>
      <c r="F76" s="618"/>
      <c r="G76" s="620"/>
      <c r="H76" s="617"/>
      <c r="I76" s="619"/>
      <c r="J76" s="618"/>
      <c r="K76" s="618"/>
      <c r="L76" s="622"/>
      <c r="M76" s="619">
        <f>M68+1</f>
        <v>9</v>
      </c>
      <c r="N76" s="617">
        <f>32599-798+28*M76</f>
        <v>32053</v>
      </c>
      <c r="O76" s="620" t="s">
        <v>106</v>
      </c>
      <c r="P76" s="621">
        <f>32599+14+28*M76</f>
        <v>32865</v>
      </c>
      <c r="Q76" s="663"/>
      <c r="R76" s="618"/>
      <c r="S76" s="620"/>
      <c r="T76" s="621"/>
      <c r="U76" s="619"/>
      <c r="V76" s="624"/>
      <c r="W76" s="624"/>
      <c r="X76" s="624"/>
      <c r="Y76" s="636"/>
    </row>
    <row r="77" spans="1:25" x14ac:dyDescent="0.25">
      <c r="A77" s="606">
        <f>A76+1</f>
        <v>69</v>
      </c>
      <c r="B77" s="617">
        <f t="shared" si="4"/>
        <v>32054.75</v>
      </c>
      <c r="C77" s="617" t="s">
        <v>106</v>
      </c>
      <c r="D77" s="617">
        <f t="shared" si="5"/>
        <v>32866.75</v>
      </c>
      <c r="E77" s="619">
        <f>E75+1</f>
        <v>35</v>
      </c>
      <c r="F77" s="617">
        <f>32599-787.5+7*E77</f>
        <v>32056.5</v>
      </c>
      <c r="G77" s="620" t="s">
        <v>106</v>
      </c>
      <c r="H77" s="617">
        <f t="shared" si="6"/>
        <v>32868.5</v>
      </c>
      <c r="I77" s="619"/>
      <c r="J77" s="618"/>
      <c r="K77" s="618"/>
      <c r="L77" s="622"/>
      <c r="M77" s="619"/>
      <c r="N77" s="618"/>
      <c r="O77" s="618"/>
      <c r="P77" s="622"/>
      <c r="Q77" s="663"/>
      <c r="R77" s="624"/>
      <c r="S77" s="624"/>
      <c r="T77" s="622"/>
      <c r="U77" s="619"/>
      <c r="V77" s="624"/>
      <c r="W77" s="624"/>
      <c r="X77" s="624"/>
      <c r="Y77" s="636"/>
    </row>
    <row r="78" spans="1:25" x14ac:dyDescent="0.25">
      <c r="A78" s="606">
        <f>A77+1</f>
        <v>70</v>
      </c>
      <c r="B78" s="617">
        <f t="shared" si="4"/>
        <v>32058.25</v>
      </c>
      <c r="C78" s="617" t="s">
        <v>106</v>
      </c>
      <c r="D78" s="617">
        <f t="shared" si="5"/>
        <v>32870.25</v>
      </c>
      <c r="E78" s="619"/>
      <c r="F78" s="618"/>
      <c r="G78" s="620"/>
      <c r="H78" s="617"/>
      <c r="I78" s="619">
        <f>I74+1</f>
        <v>18</v>
      </c>
      <c r="J78" s="617">
        <f>32599-791+14*I78</f>
        <v>32060</v>
      </c>
      <c r="K78" s="620" t="s">
        <v>106</v>
      </c>
      <c r="L78" s="617">
        <f>32599+21+14*I78</f>
        <v>32872</v>
      </c>
      <c r="M78" s="619"/>
      <c r="N78" s="618"/>
      <c r="O78" s="618"/>
      <c r="P78" s="622"/>
      <c r="Q78" s="663"/>
      <c r="R78" s="624"/>
      <c r="S78" s="624"/>
      <c r="T78" s="622"/>
      <c r="U78" s="619"/>
      <c r="V78" s="624"/>
      <c r="W78" s="624"/>
      <c r="X78" s="624"/>
      <c r="Y78" s="636"/>
    </row>
    <row r="79" spans="1:25" x14ac:dyDescent="0.25">
      <c r="A79" s="606">
        <f t="shared" ref="A79:A142" si="7">A78+1</f>
        <v>71</v>
      </c>
      <c r="B79" s="617">
        <f t="shared" si="4"/>
        <v>32061.75</v>
      </c>
      <c r="C79" s="617" t="s">
        <v>106</v>
      </c>
      <c r="D79" s="617">
        <f t="shared" si="5"/>
        <v>32873.75</v>
      </c>
      <c r="E79" s="619">
        <f>E77+1</f>
        <v>36</v>
      </c>
      <c r="F79" s="617">
        <f>32599-787.5+7*E79</f>
        <v>32063.5</v>
      </c>
      <c r="G79" s="620" t="s">
        <v>106</v>
      </c>
      <c r="H79" s="617">
        <f t="shared" si="6"/>
        <v>32875.5</v>
      </c>
      <c r="I79" s="619"/>
      <c r="J79" s="618"/>
      <c r="K79" s="620"/>
      <c r="L79" s="621"/>
      <c r="M79" s="619"/>
      <c r="N79" s="618"/>
      <c r="O79" s="618"/>
      <c r="P79" s="622"/>
      <c r="Q79" s="663"/>
      <c r="R79" s="624"/>
      <c r="S79" s="624"/>
      <c r="T79" s="617"/>
      <c r="U79" s="619"/>
      <c r="V79" s="624"/>
      <c r="W79" s="624"/>
      <c r="X79" s="624"/>
      <c r="Y79" s="636"/>
    </row>
    <row r="80" spans="1:25" x14ac:dyDescent="0.25">
      <c r="A80" s="606">
        <f t="shared" si="7"/>
        <v>72</v>
      </c>
      <c r="B80" s="617">
        <f t="shared" si="4"/>
        <v>32065.25</v>
      </c>
      <c r="C80" s="617" t="s">
        <v>106</v>
      </c>
      <c r="D80" s="617">
        <f t="shared" si="5"/>
        <v>32877.25</v>
      </c>
      <c r="E80" s="619"/>
      <c r="F80" s="618"/>
      <c r="G80" s="620"/>
      <c r="H80" s="617"/>
      <c r="I80" s="619"/>
      <c r="J80" s="618"/>
      <c r="K80" s="618"/>
      <c r="L80" s="622"/>
      <c r="M80" s="619"/>
      <c r="N80" s="618"/>
      <c r="O80" s="618"/>
      <c r="P80" s="622"/>
      <c r="Q80" s="663">
        <f>Q64+1</f>
        <v>4</v>
      </c>
      <c r="R80" s="617">
        <f>32599-756+56*Q80</f>
        <v>32067</v>
      </c>
      <c r="S80" s="620" t="s">
        <v>106</v>
      </c>
      <c r="T80" s="617">
        <f>32599+56+56*Q80</f>
        <v>32879</v>
      </c>
      <c r="U80" s="619"/>
      <c r="V80" s="624"/>
      <c r="W80" s="624"/>
      <c r="X80" s="624"/>
      <c r="Y80" s="649"/>
    </row>
    <row r="81" spans="1:25" x14ac:dyDescent="0.25">
      <c r="A81" s="606">
        <f t="shared" si="7"/>
        <v>73</v>
      </c>
      <c r="B81" s="617">
        <f t="shared" si="4"/>
        <v>32068.75</v>
      </c>
      <c r="C81" s="617" t="s">
        <v>106</v>
      </c>
      <c r="D81" s="617">
        <f t="shared" si="5"/>
        <v>32880.75</v>
      </c>
      <c r="E81" s="619">
        <f>E79+1</f>
        <v>37</v>
      </c>
      <c r="F81" s="617">
        <f>32599-787.5+7*E81</f>
        <v>32070.5</v>
      </c>
      <c r="G81" s="620" t="s">
        <v>106</v>
      </c>
      <c r="H81" s="617">
        <f t="shared" si="6"/>
        <v>32882.5</v>
      </c>
      <c r="I81" s="619"/>
      <c r="J81" s="618"/>
      <c r="K81" s="618"/>
      <c r="L81" s="622"/>
      <c r="M81" s="619"/>
      <c r="N81" s="618"/>
      <c r="O81" s="618"/>
      <c r="P81" s="622"/>
      <c r="Q81" s="663"/>
      <c r="R81" s="624"/>
      <c r="S81" s="624"/>
      <c r="T81" s="622"/>
      <c r="U81" s="619"/>
      <c r="V81" s="624"/>
      <c r="W81" s="624"/>
      <c r="X81" s="624"/>
      <c r="Y81" s="649"/>
    </row>
    <row r="82" spans="1:25" x14ac:dyDescent="0.25">
      <c r="A82" s="606">
        <f t="shared" si="7"/>
        <v>74</v>
      </c>
      <c r="B82" s="617">
        <f t="shared" si="4"/>
        <v>32072.25</v>
      </c>
      <c r="C82" s="617" t="s">
        <v>106</v>
      </c>
      <c r="D82" s="617">
        <f t="shared" si="5"/>
        <v>32884.25</v>
      </c>
      <c r="E82" s="619"/>
      <c r="F82" s="618"/>
      <c r="G82" s="620"/>
      <c r="H82" s="617"/>
      <c r="I82" s="619">
        <f>I78+1</f>
        <v>19</v>
      </c>
      <c r="J82" s="617">
        <f>32599-791+14*I82</f>
        <v>32074</v>
      </c>
      <c r="K82" s="620" t="s">
        <v>106</v>
      </c>
      <c r="L82" s="617">
        <f>32599+21+14*I82</f>
        <v>32886</v>
      </c>
      <c r="M82" s="619"/>
      <c r="N82" s="618"/>
      <c r="O82" s="618"/>
      <c r="P82" s="622"/>
      <c r="Q82" s="663"/>
      <c r="R82" s="624"/>
      <c r="S82" s="624"/>
      <c r="T82" s="622"/>
      <c r="U82" s="619"/>
      <c r="V82" s="624"/>
      <c r="W82" s="624"/>
      <c r="X82" s="624"/>
      <c r="Y82" s="650"/>
    </row>
    <row r="83" spans="1:25" x14ac:dyDescent="0.25">
      <c r="A83" s="606">
        <f t="shared" si="7"/>
        <v>75</v>
      </c>
      <c r="B83" s="617">
        <f t="shared" si="4"/>
        <v>32075.75</v>
      </c>
      <c r="C83" s="617" t="s">
        <v>106</v>
      </c>
      <c r="D83" s="617">
        <f t="shared" si="5"/>
        <v>32887.75</v>
      </c>
      <c r="E83" s="619">
        <f>E81+1</f>
        <v>38</v>
      </c>
      <c r="F83" s="617">
        <f>32599-787.5+7*E83</f>
        <v>32077.5</v>
      </c>
      <c r="G83" s="620" t="s">
        <v>106</v>
      </c>
      <c r="H83" s="617">
        <f t="shared" si="6"/>
        <v>32889.5</v>
      </c>
      <c r="I83" s="619"/>
      <c r="J83" s="618"/>
      <c r="K83" s="620"/>
      <c r="L83" s="621"/>
      <c r="M83" s="619"/>
      <c r="N83" s="618"/>
      <c r="O83" s="618"/>
      <c r="P83" s="622"/>
      <c r="Q83" s="663"/>
      <c r="R83" s="647"/>
      <c r="S83" s="624"/>
      <c r="T83" s="648"/>
      <c r="U83" s="619"/>
      <c r="V83" s="624"/>
      <c r="W83" s="624"/>
      <c r="X83" s="624"/>
      <c r="Y83" s="636"/>
    </row>
    <row r="84" spans="1:25" x14ac:dyDescent="0.25">
      <c r="A84" s="606">
        <f t="shared" si="7"/>
        <v>76</v>
      </c>
      <c r="B84" s="617">
        <f t="shared" si="4"/>
        <v>32079.25</v>
      </c>
      <c r="C84" s="617" t="s">
        <v>106</v>
      </c>
      <c r="D84" s="617">
        <f t="shared" si="5"/>
        <v>32891.25</v>
      </c>
      <c r="E84" s="619"/>
      <c r="F84" s="618"/>
      <c r="G84" s="620"/>
      <c r="H84" s="617"/>
      <c r="I84" s="619"/>
      <c r="J84" s="618"/>
      <c r="K84" s="618"/>
      <c r="L84" s="622"/>
      <c r="M84" s="619">
        <f>M76+1</f>
        <v>10</v>
      </c>
      <c r="N84" s="617">
        <f>32599-798+28*M84</f>
        <v>32081</v>
      </c>
      <c r="O84" s="620" t="s">
        <v>106</v>
      </c>
      <c r="P84" s="621">
        <f>32599+14+28*M84</f>
        <v>32893</v>
      </c>
      <c r="Q84" s="663"/>
      <c r="R84" s="624"/>
      <c r="S84" s="624"/>
      <c r="T84" s="622"/>
      <c r="U84" s="619"/>
      <c r="V84" s="624"/>
      <c r="W84" s="624"/>
      <c r="X84" s="624"/>
      <c r="Y84" s="636"/>
    </row>
    <row r="85" spans="1:25" x14ac:dyDescent="0.25">
      <c r="A85" s="606">
        <f t="shared" si="7"/>
        <v>77</v>
      </c>
      <c r="B85" s="617">
        <f t="shared" si="4"/>
        <v>32082.75</v>
      </c>
      <c r="C85" s="617" t="s">
        <v>106</v>
      </c>
      <c r="D85" s="617">
        <f t="shared" si="5"/>
        <v>32894.75</v>
      </c>
      <c r="E85" s="619">
        <f>E83+1</f>
        <v>39</v>
      </c>
      <c r="F85" s="617">
        <f>32599-787.5+7*E85</f>
        <v>32084.5</v>
      </c>
      <c r="G85" s="620" t="s">
        <v>106</v>
      </c>
      <c r="H85" s="617">
        <f t="shared" si="6"/>
        <v>32896.5</v>
      </c>
      <c r="I85" s="619"/>
      <c r="J85" s="618"/>
      <c r="K85" s="618"/>
      <c r="L85" s="622"/>
      <c r="M85" s="619"/>
      <c r="N85" s="618"/>
      <c r="O85" s="618"/>
      <c r="P85" s="622"/>
      <c r="Q85" s="663"/>
      <c r="R85" s="624"/>
      <c r="S85" s="624"/>
      <c r="T85" s="622"/>
      <c r="U85" s="619"/>
      <c r="V85" s="624"/>
      <c r="W85" s="624"/>
      <c r="X85" s="624"/>
      <c r="Y85" s="636"/>
    </row>
    <row r="86" spans="1:25" x14ac:dyDescent="0.25">
      <c r="A86" s="606">
        <f t="shared" si="7"/>
        <v>78</v>
      </c>
      <c r="B86" s="617">
        <f t="shared" si="4"/>
        <v>32086.25</v>
      </c>
      <c r="C86" s="617" t="s">
        <v>106</v>
      </c>
      <c r="D86" s="617">
        <f t="shared" si="5"/>
        <v>32898.25</v>
      </c>
      <c r="E86" s="619"/>
      <c r="F86" s="618"/>
      <c r="G86" s="620"/>
      <c r="H86" s="617"/>
      <c r="I86" s="619">
        <f>I82+1</f>
        <v>20</v>
      </c>
      <c r="J86" s="617">
        <f>32599-791+14*I86</f>
        <v>32088</v>
      </c>
      <c r="K86" s="620" t="s">
        <v>106</v>
      </c>
      <c r="L86" s="617">
        <f>32599+21+14*I86</f>
        <v>32900</v>
      </c>
      <c r="M86" s="619"/>
      <c r="N86" s="618"/>
      <c r="O86" s="618"/>
      <c r="P86" s="622"/>
      <c r="Q86" s="663"/>
      <c r="R86" s="647"/>
      <c r="S86" s="647"/>
      <c r="T86" s="648"/>
      <c r="U86" s="619"/>
      <c r="V86" s="624"/>
      <c r="W86" s="624"/>
      <c r="X86" s="624"/>
      <c r="Y86" s="636"/>
    </row>
    <row r="87" spans="1:25" x14ac:dyDescent="0.25">
      <c r="A87" s="606">
        <f t="shared" si="7"/>
        <v>79</v>
      </c>
      <c r="B87" s="617">
        <f t="shared" si="4"/>
        <v>32089.75</v>
      </c>
      <c r="C87" s="617" t="s">
        <v>106</v>
      </c>
      <c r="D87" s="617">
        <f t="shared" si="5"/>
        <v>32901.75</v>
      </c>
      <c r="E87" s="619">
        <f>E85+1</f>
        <v>40</v>
      </c>
      <c r="F87" s="617">
        <f>32599-787.5+7*E87</f>
        <v>32091.5</v>
      </c>
      <c r="G87" s="620" t="s">
        <v>106</v>
      </c>
      <c r="H87" s="617">
        <f t="shared" si="6"/>
        <v>32903.5</v>
      </c>
      <c r="I87" s="619"/>
      <c r="J87" s="618"/>
      <c r="K87" s="620"/>
      <c r="L87" s="621"/>
      <c r="M87" s="619"/>
      <c r="N87" s="618"/>
      <c r="O87" s="618"/>
      <c r="P87" s="622"/>
      <c r="Q87" s="663"/>
      <c r="R87" s="624"/>
      <c r="S87" s="624"/>
      <c r="T87" s="622"/>
      <c r="U87" s="619"/>
      <c r="V87" s="624"/>
      <c r="W87" s="624"/>
      <c r="X87" s="624"/>
      <c r="Y87" s="636"/>
    </row>
    <row r="88" spans="1:25" ht="15.75" thickBot="1" x14ac:dyDescent="0.3">
      <c r="A88" s="664">
        <f t="shared" si="7"/>
        <v>80</v>
      </c>
      <c r="B88" s="665">
        <f t="shared" si="4"/>
        <v>32093.25</v>
      </c>
      <c r="C88" s="665" t="s">
        <v>106</v>
      </c>
      <c r="D88" s="665">
        <f t="shared" si="5"/>
        <v>32905.25</v>
      </c>
      <c r="E88" s="666"/>
      <c r="F88" s="665"/>
      <c r="G88" s="667"/>
      <c r="H88" s="665"/>
      <c r="I88" s="666"/>
      <c r="J88" s="665"/>
      <c r="K88" s="643"/>
      <c r="L88" s="648"/>
      <c r="M88" s="645"/>
      <c r="N88" s="643"/>
      <c r="O88" s="665"/>
      <c r="P88" s="668"/>
      <c r="Q88" s="669"/>
      <c r="R88" s="647"/>
      <c r="S88" s="647"/>
      <c r="T88" s="648"/>
      <c r="U88" s="670"/>
      <c r="V88" s="617"/>
      <c r="W88" s="671"/>
      <c r="X88" s="617"/>
      <c r="Y88" s="651"/>
    </row>
    <row r="89" spans="1:25" ht="15.75" thickTop="1" x14ac:dyDescent="0.25">
      <c r="A89" s="652">
        <f t="shared" si="7"/>
        <v>81</v>
      </c>
      <c r="B89" s="617">
        <f t="shared" si="4"/>
        <v>32096.75</v>
      </c>
      <c r="C89" s="617" t="s">
        <v>106</v>
      </c>
      <c r="D89" s="617">
        <f t="shared" si="5"/>
        <v>32908.75</v>
      </c>
      <c r="E89" s="653">
        <f>E87+1</f>
        <v>41</v>
      </c>
      <c r="F89" s="617">
        <f>32599-787.5+7*E89</f>
        <v>32098.5</v>
      </c>
      <c r="G89" s="654" t="s">
        <v>106</v>
      </c>
      <c r="H89" s="617">
        <f t="shared" si="6"/>
        <v>32910.5</v>
      </c>
      <c r="I89" s="653"/>
      <c r="J89" s="617"/>
      <c r="K89" s="655"/>
      <c r="L89" s="656"/>
      <c r="M89" s="657"/>
      <c r="N89" s="655"/>
      <c r="O89" s="617"/>
      <c r="P89" s="658"/>
      <c r="Q89" s="659"/>
      <c r="R89" s="660"/>
      <c r="S89" s="660"/>
      <c r="T89" s="656"/>
      <c r="U89" s="657"/>
      <c r="V89" s="660"/>
      <c r="W89" s="660"/>
      <c r="X89" s="660"/>
      <c r="Y89" s="662"/>
    </row>
    <row r="90" spans="1:25" x14ac:dyDescent="0.25">
      <c r="A90" s="606">
        <f t="shared" si="7"/>
        <v>82</v>
      </c>
      <c r="B90" s="617">
        <f t="shared" si="4"/>
        <v>32100.25</v>
      </c>
      <c r="C90" s="617" t="s">
        <v>106</v>
      </c>
      <c r="D90" s="617">
        <f t="shared" si="5"/>
        <v>32912.25</v>
      </c>
      <c r="E90" s="619"/>
      <c r="F90" s="618"/>
      <c r="G90" s="620"/>
      <c r="H90" s="617"/>
      <c r="I90" s="619">
        <f>I86+1</f>
        <v>21</v>
      </c>
      <c r="J90" s="617">
        <f>32599-791+14*I90</f>
        <v>32102</v>
      </c>
      <c r="K90" s="620" t="s">
        <v>106</v>
      </c>
      <c r="L90" s="617">
        <f>32599+21+14*I90</f>
        <v>32914</v>
      </c>
      <c r="M90" s="619"/>
      <c r="N90" s="618"/>
      <c r="O90" s="618"/>
      <c r="P90" s="622"/>
      <c r="Q90" s="663"/>
      <c r="R90" s="624"/>
      <c r="S90" s="624"/>
      <c r="T90" s="622"/>
      <c r="U90" s="619"/>
      <c r="V90" s="624"/>
      <c r="W90" s="624"/>
      <c r="X90" s="624"/>
      <c r="Y90" s="636"/>
    </row>
    <row r="91" spans="1:25" x14ac:dyDescent="0.25">
      <c r="A91" s="606">
        <f t="shared" si="7"/>
        <v>83</v>
      </c>
      <c r="B91" s="617">
        <f t="shared" si="4"/>
        <v>32103.75</v>
      </c>
      <c r="C91" s="617" t="s">
        <v>106</v>
      </c>
      <c r="D91" s="617">
        <f t="shared" si="5"/>
        <v>32915.75</v>
      </c>
      <c r="E91" s="619">
        <f>E89+1</f>
        <v>42</v>
      </c>
      <c r="F91" s="617">
        <f>32599-787.5+7*E91</f>
        <v>32105.5</v>
      </c>
      <c r="G91" s="620" t="s">
        <v>106</v>
      </c>
      <c r="H91" s="617">
        <f t="shared" si="6"/>
        <v>32917.5</v>
      </c>
      <c r="I91" s="619"/>
      <c r="J91" s="618"/>
      <c r="K91" s="620"/>
      <c r="L91" s="621"/>
      <c r="M91" s="619"/>
      <c r="N91" s="618"/>
      <c r="O91" s="618"/>
      <c r="P91" s="622"/>
      <c r="Q91" s="663"/>
      <c r="R91" s="624"/>
      <c r="S91" s="624"/>
      <c r="T91" s="622"/>
      <c r="U91" s="619"/>
      <c r="V91" s="624"/>
      <c r="W91" s="624"/>
      <c r="X91" s="624"/>
      <c r="Y91" s="636"/>
    </row>
    <row r="92" spans="1:25" x14ac:dyDescent="0.25">
      <c r="A92" s="606">
        <f t="shared" si="7"/>
        <v>84</v>
      </c>
      <c r="B92" s="617">
        <f t="shared" si="4"/>
        <v>32107.25</v>
      </c>
      <c r="C92" s="617" t="s">
        <v>106</v>
      </c>
      <c r="D92" s="617">
        <f t="shared" si="5"/>
        <v>32919.25</v>
      </c>
      <c r="E92" s="619"/>
      <c r="F92" s="618"/>
      <c r="G92" s="620"/>
      <c r="H92" s="617"/>
      <c r="I92" s="619"/>
      <c r="J92" s="618"/>
      <c r="K92" s="618"/>
      <c r="L92" s="622"/>
      <c r="M92" s="619">
        <f>M84+1</f>
        <v>11</v>
      </c>
      <c r="N92" s="617">
        <f>32599-798+28*M92</f>
        <v>32109</v>
      </c>
      <c r="O92" s="620" t="s">
        <v>106</v>
      </c>
      <c r="P92" s="621">
        <f>32599+14+28*M92</f>
        <v>32921</v>
      </c>
      <c r="Q92" s="663"/>
      <c r="R92" s="618"/>
      <c r="S92" s="620"/>
      <c r="T92" s="621"/>
      <c r="U92" s="619"/>
      <c r="V92" s="618"/>
      <c r="W92" s="620"/>
      <c r="X92" s="620"/>
      <c r="Y92" s="636"/>
    </row>
    <row r="93" spans="1:25" x14ac:dyDescent="0.25">
      <c r="A93" s="606">
        <f t="shared" si="7"/>
        <v>85</v>
      </c>
      <c r="B93" s="617">
        <f t="shared" si="4"/>
        <v>32110.75</v>
      </c>
      <c r="C93" s="617" t="s">
        <v>106</v>
      </c>
      <c r="D93" s="617">
        <f t="shared" si="5"/>
        <v>32922.75</v>
      </c>
      <c r="E93" s="619">
        <f>E91+1</f>
        <v>43</v>
      </c>
      <c r="F93" s="617">
        <f>32599-787.5+7*E93</f>
        <v>32112.5</v>
      </c>
      <c r="G93" s="620" t="s">
        <v>106</v>
      </c>
      <c r="H93" s="617">
        <f t="shared" si="6"/>
        <v>32924.5</v>
      </c>
      <c r="I93" s="619"/>
      <c r="J93" s="618"/>
      <c r="K93" s="618"/>
      <c r="L93" s="622"/>
      <c r="M93" s="619"/>
      <c r="N93" s="618"/>
      <c r="O93" s="618"/>
      <c r="P93" s="622"/>
      <c r="Q93" s="663"/>
      <c r="R93" s="624"/>
      <c r="S93" s="624"/>
      <c r="T93" s="622"/>
      <c r="U93" s="619"/>
      <c r="V93" s="624"/>
      <c r="W93" s="624"/>
      <c r="X93" s="624"/>
      <c r="Y93" s="636"/>
    </row>
    <row r="94" spans="1:25" x14ac:dyDescent="0.25">
      <c r="A94" s="606">
        <f t="shared" si="7"/>
        <v>86</v>
      </c>
      <c r="B94" s="617">
        <f t="shared" si="4"/>
        <v>32114.25</v>
      </c>
      <c r="C94" s="617" t="s">
        <v>106</v>
      </c>
      <c r="D94" s="617">
        <f t="shared" si="5"/>
        <v>32926.25</v>
      </c>
      <c r="E94" s="619"/>
      <c r="F94" s="618"/>
      <c r="G94" s="620"/>
      <c r="H94" s="617"/>
      <c r="I94" s="619">
        <f>I90+1</f>
        <v>22</v>
      </c>
      <c r="J94" s="617">
        <f>32599-791+14*I94</f>
        <v>32116</v>
      </c>
      <c r="K94" s="620" t="s">
        <v>106</v>
      </c>
      <c r="L94" s="617">
        <f>32599+21+14*I94</f>
        <v>32928</v>
      </c>
      <c r="M94" s="619"/>
      <c r="N94" s="618"/>
      <c r="O94" s="618"/>
      <c r="P94" s="622"/>
      <c r="Q94" s="663"/>
      <c r="R94" s="624"/>
      <c r="S94" s="624"/>
      <c r="T94" s="622"/>
      <c r="U94" s="619"/>
      <c r="V94" s="624"/>
      <c r="W94" s="624"/>
      <c r="X94" s="624"/>
      <c r="Y94" s="636"/>
    </row>
    <row r="95" spans="1:25" x14ac:dyDescent="0.25">
      <c r="A95" s="606">
        <f t="shared" si="7"/>
        <v>87</v>
      </c>
      <c r="B95" s="617">
        <f t="shared" si="4"/>
        <v>32117.75</v>
      </c>
      <c r="C95" s="617" t="s">
        <v>106</v>
      </c>
      <c r="D95" s="617">
        <f t="shared" si="5"/>
        <v>32929.75</v>
      </c>
      <c r="E95" s="619">
        <f>E93+1</f>
        <v>44</v>
      </c>
      <c r="F95" s="617">
        <f>32599-787.5+7*E95</f>
        <v>32119.5</v>
      </c>
      <c r="G95" s="620" t="s">
        <v>106</v>
      </c>
      <c r="H95" s="617">
        <f t="shared" si="6"/>
        <v>32931.5</v>
      </c>
      <c r="I95" s="619"/>
      <c r="J95" s="618"/>
      <c r="K95" s="620"/>
      <c r="L95" s="621"/>
      <c r="M95" s="619"/>
      <c r="N95" s="618"/>
      <c r="O95" s="618"/>
      <c r="P95" s="622"/>
      <c r="Q95" s="663"/>
      <c r="R95" s="624"/>
      <c r="S95" s="624"/>
      <c r="T95" s="622"/>
      <c r="U95" s="619"/>
      <c r="V95" s="624"/>
      <c r="W95" s="624"/>
      <c r="X95" s="624"/>
      <c r="Y95" s="649"/>
    </row>
    <row r="96" spans="1:25" x14ac:dyDescent="0.25">
      <c r="A96" s="606">
        <f t="shared" si="7"/>
        <v>88</v>
      </c>
      <c r="B96" s="617">
        <f t="shared" si="4"/>
        <v>32121.25</v>
      </c>
      <c r="C96" s="617" t="s">
        <v>106</v>
      </c>
      <c r="D96" s="617">
        <f t="shared" si="5"/>
        <v>32933.25</v>
      </c>
      <c r="E96" s="619"/>
      <c r="F96" s="618"/>
      <c r="G96" s="620"/>
      <c r="H96" s="617"/>
      <c r="I96" s="619"/>
      <c r="J96" s="618"/>
      <c r="K96" s="618"/>
      <c r="L96" s="622"/>
      <c r="M96" s="619"/>
      <c r="N96" s="618"/>
      <c r="O96" s="618"/>
      <c r="P96" s="622"/>
      <c r="Q96" s="663">
        <f>Q80+1</f>
        <v>5</v>
      </c>
      <c r="R96" s="617">
        <f>32599-756+56*Q96</f>
        <v>32123</v>
      </c>
      <c r="S96" s="620" t="s">
        <v>106</v>
      </c>
      <c r="T96" s="617">
        <f>32599+56+56*Q96</f>
        <v>32935</v>
      </c>
      <c r="U96" s="619"/>
      <c r="V96" s="624"/>
      <c r="W96" s="624"/>
      <c r="X96" s="624"/>
      <c r="Y96" s="649"/>
    </row>
    <row r="97" spans="1:25" x14ac:dyDescent="0.25">
      <c r="A97" s="606">
        <f t="shared" si="7"/>
        <v>89</v>
      </c>
      <c r="B97" s="617">
        <f t="shared" si="4"/>
        <v>32124.75</v>
      </c>
      <c r="C97" s="617" t="s">
        <v>106</v>
      </c>
      <c r="D97" s="617">
        <f t="shared" si="5"/>
        <v>32936.75</v>
      </c>
      <c r="E97" s="619">
        <f>E95+1</f>
        <v>45</v>
      </c>
      <c r="F97" s="617">
        <f>32599-787.5+7*E97</f>
        <v>32126.5</v>
      </c>
      <c r="G97" s="620" t="s">
        <v>106</v>
      </c>
      <c r="H97" s="617">
        <f t="shared" si="6"/>
        <v>32938.5</v>
      </c>
      <c r="I97" s="619"/>
      <c r="J97" s="618"/>
      <c r="K97" s="618"/>
      <c r="L97" s="622"/>
      <c r="M97" s="619"/>
      <c r="N97" s="618"/>
      <c r="O97" s="618"/>
      <c r="P97" s="622"/>
      <c r="Q97" s="663"/>
      <c r="R97" s="624"/>
      <c r="S97" s="624"/>
      <c r="T97" s="622"/>
      <c r="U97" s="619"/>
      <c r="V97" s="624"/>
      <c r="W97" s="624"/>
      <c r="X97" s="624"/>
      <c r="Y97" s="650"/>
    </row>
    <row r="98" spans="1:25" x14ac:dyDescent="0.25">
      <c r="A98" s="606">
        <f t="shared" si="7"/>
        <v>90</v>
      </c>
      <c r="B98" s="617">
        <f t="shared" si="4"/>
        <v>32128.25</v>
      </c>
      <c r="C98" s="617" t="s">
        <v>106</v>
      </c>
      <c r="D98" s="617">
        <f t="shared" si="5"/>
        <v>32940.25</v>
      </c>
      <c r="E98" s="619"/>
      <c r="F98" s="618"/>
      <c r="G98" s="620"/>
      <c r="H98" s="617"/>
      <c r="I98" s="619">
        <f>I94+1</f>
        <v>23</v>
      </c>
      <c r="J98" s="617">
        <f>32599-791+14*I98</f>
        <v>32130</v>
      </c>
      <c r="K98" s="620" t="s">
        <v>106</v>
      </c>
      <c r="L98" s="617">
        <f>32599+21+14*I98</f>
        <v>32942</v>
      </c>
      <c r="M98" s="619"/>
      <c r="N98" s="618"/>
      <c r="O98" s="618"/>
      <c r="P98" s="622"/>
      <c r="Q98" s="663"/>
      <c r="R98" s="624"/>
      <c r="S98" s="624"/>
      <c r="T98" s="622"/>
      <c r="U98" s="619"/>
      <c r="V98" s="624"/>
      <c r="W98" s="624"/>
      <c r="X98" s="624"/>
      <c r="Y98" s="636"/>
    </row>
    <row r="99" spans="1:25" x14ac:dyDescent="0.25">
      <c r="A99" s="606">
        <f t="shared" si="7"/>
        <v>91</v>
      </c>
      <c r="B99" s="617">
        <f t="shared" si="4"/>
        <v>32131.75</v>
      </c>
      <c r="C99" s="617" t="s">
        <v>106</v>
      </c>
      <c r="D99" s="617">
        <f t="shared" si="5"/>
        <v>32943.75</v>
      </c>
      <c r="E99" s="619">
        <f>E97+1</f>
        <v>46</v>
      </c>
      <c r="F99" s="617">
        <f>32599-787.5+7*E99</f>
        <v>32133.5</v>
      </c>
      <c r="G99" s="620" t="s">
        <v>106</v>
      </c>
      <c r="H99" s="617">
        <f t="shared" si="6"/>
        <v>32945.5</v>
      </c>
      <c r="I99" s="619"/>
      <c r="J99" s="618"/>
      <c r="K99" s="620"/>
      <c r="L99" s="621"/>
      <c r="M99" s="619"/>
      <c r="N99" s="618"/>
      <c r="O99" s="618"/>
      <c r="P99" s="622"/>
      <c r="Q99" s="663"/>
      <c r="R99" s="647"/>
      <c r="S99" s="624"/>
      <c r="T99" s="648"/>
      <c r="U99" s="619"/>
      <c r="V99" s="624"/>
      <c r="W99" s="624"/>
      <c r="X99" s="624"/>
      <c r="Y99" s="636"/>
    </row>
    <row r="100" spans="1:25" x14ac:dyDescent="0.25">
      <c r="A100" s="606">
        <f t="shared" si="7"/>
        <v>92</v>
      </c>
      <c r="B100" s="617">
        <f t="shared" si="4"/>
        <v>32135.25</v>
      </c>
      <c r="C100" s="617" t="s">
        <v>106</v>
      </c>
      <c r="D100" s="617">
        <f t="shared" si="5"/>
        <v>32947.25</v>
      </c>
      <c r="E100" s="619"/>
      <c r="F100" s="618"/>
      <c r="G100" s="620"/>
      <c r="H100" s="617"/>
      <c r="I100" s="619"/>
      <c r="J100" s="618"/>
      <c r="K100" s="618"/>
      <c r="L100" s="622"/>
      <c r="M100" s="619">
        <f>M92+1</f>
        <v>12</v>
      </c>
      <c r="N100" s="617">
        <f>32599-798+28*M100</f>
        <v>32137</v>
      </c>
      <c r="O100" s="620" t="s">
        <v>106</v>
      </c>
      <c r="P100" s="621">
        <f>32599+14+28*M100</f>
        <v>32949</v>
      </c>
      <c r="Q100" s="663"/>
      <c r="R100" s="624"/>
      <c r="S100" s="624"/>
      <c r="T100" s="622"/>
      <c r="U100" s="619"/>
      <c r="V100" s="624"/>
      <c r="W100" s="624"/>
      <c r="X100" s="624"/>
      <c r="Y100" s="636"/>
    </row>
    <row r="101" spans="1:25" x14ac:dyDescent="0.25">
      <c r="A101" s="606">
        <f t="shared" si="7"/>
        <v>93</v>
      </c>
      <c r="B101" s="617">
        <f t="shared" si="4"/>
        <v>32138.75</v>
      </c>
      <c r="C101" s="617" t="s">
        <v>106</v>
      </c>
      <c r="D101" s="617">
        <f t="shared" si="5"/>
        <v>32950.75</v>
      </c>
      <c r="E101" s="619">
        <f>E99+1</f>
        <v>47</v>
      </c>
      <c r="F101" s="617">
        <f>32599-787.5+7*E101</f>
        <v>32140.5</v>
      </c>
      <c r="G101" s="620" t="s">
        <v>106</v>
      </c>
      <c r="H101" s="617">
        <f t="shared" si="6"/>
        <v>32952.5</v>
      </c>
      <c r="I101" s="619"/>
      <c r="J101" s="618"/>
      <c r="K101" s="618"/>
      <c r="L101" s="622"/>
      <c r="M101" s="619"/>
      <c r="N101" s="618"/>
      <c r="O101" s="618"/>
      <c r="P101" s="622"/>
      <c r="Q101" s="663"/>
      <c r="R101" s="624"/>
      <c r="S101" s="624"/>
      <c r="T101" s="622"/>
      <c r="U101" s="619"/>
      <c r="V101" s="624"/>
      <c r="W101" s="624"/>
      <c r="X101" s="624"/>
      <c r="Y101" s="636"/>
    </row>
    <row r="102" spans="1:25" x14ac:dyDescent="0.25">
      <c r="A102" s="606">
        <f t="shared" si="7"/>
        <v>94</v>
      </c>
      <c r="B102" s="617">
        <f t="shared" si="4"/>
        <v>32142.25</v>
      </c>
      <c r="C102" s="617" t="s">
        <v>106</v>
      </c>
      <c r="D102" s="617">
        <f t="shared" si="5"/>
        <v>32954.25</v>
      </c>
      <c r="E102" s="619"/>
      <c r="F102" s="618"/>
      <c r="G102" s="620"/>
      <c r="H102" s="617"/>
      <c r="I102" s="619">
        <f>I98+1</f>
        <v>24</v>
      </c>
      <c r="J102" s="617">
        <f>32599-791+14*I102</f>
        <v>32144</v>
      </c>
      <c r="K102" s="620" t="s">
        <v>106</v>
      </c>
      <c r="L102" s="617">
        <f>32599+21+14*I102</f>
        <v>32956</v>
      </c>
      <c r="M102" s="619"/>
      <c r="N102" s="618"/>
      <c r="O102" s="618"/>
      <c r="P102" s="622"/>
      <c r="Q102" s="663"/>
      <c r="R102" s="647"/>
      <c r="S102" s="647"/>
      <c r="T102" s="648"/>
      <c r="U102" s="619"/>
      <c r="V102" s="624"/>
      <c r="W102" s="624"/>
      <c r="X102" s="624"/>
      <c r="Y102" s="636"/>
    </row>
    <row r="103" spans="1:25" x14ac:dyDescent="0.25">
      <c r="A103" s="606">
        <f t="shared" si="7"/>
        <v>95</v>
      </c>
      <c r="B103" s="617">
        <f t="shared" si="4"/>
        <v>32145.75</v>
      </c>
      <c r="C103" s="617" t="s">
        <v>106</v>
      </c>
      <c r="D103" s="617">
        <f t="shared" si="5"/>
        <v>32957.75</v>
      </c>
      <c r="E103" s="619">
        <f>E101+1</f>
        <v>48</v>
      </c>
      <c r="F103" s="617">
        <f>32599-787.5+7*E103</f>
        <v>32147.5</v>
      </c>
      <c r="G103" s="620" t="s">
        <v>106</v>
      </c>
      <c r="H103" s="617">
        <f t="shared" si="6"/>
        <v>32959.5</v>
      </c>
      <c r="I103" s="619"/>
      <c r="J103" s="618"/>
      <c r="K103" s="620"/>
      <c r="L103" s="621"/>
      <c r="M103" s="619"/>
      <c r="N103" s="618"/>
      <c r="O103" s="618"/>
      <c r="P103" s="622"/>
      <c r="Q103" s="663"/>
      <c r="R103" s="624"/>
      <c r="S103" s="624"/>
      <c r="T103" s="622"/>
      <c r="U103" s="619"/>
      <c r="V103" s="624"/>
      <c r="W103" s="624"/>
      <c r="X103" s="624"/>
      <c r="Y103" s="636"/>
    </row>
    <row r="104" spans="1:25" ht="15.75" thickBot="1" x14ac:dyDescent="0.3">
      <c r="A104" s="664">
        <f t="shared" si="7"/>
        <v>96</v>
      </c>
      <c r="B104" s="665">
        <f t="shared" si="4"/>
        <v>32149.25</v>
      </c>
      <c r="C104" s="665" t="s">
        <v>106</v>
      </c>
      <c r="D104" s="665">
        <f t="shared" si="5"/>
        <v>32961.25</v>
      </c>
      <c r="E104" s="666"/>
      <c r="F104" s="665"/>
      <c r="G104" s="667"/>
      <c r="H104" s="665"/>
      <c r="I104" s="666"/>
      <c r="J104" s="665"/>
      <c r="K104" s="665"/>
      <c r="L104" s="668"/>
      <c r="M104" s="666"/>
      <c r="N104" s="665"/>
      <c r="O104" s="665"/>
      <c r="P104" s="668"/>
      <c r="Q104" s="669"/>
      <c r="R104" s="647"/>
      <c r="S104" s="647"/>
      <c r="T104" s="648"/>
      <c r="U104" s="666"/>
      <c r="V104" s="672"/>
      <c r="W104" s="672"/>
      <c r="X104" s="668"/>
      <c r="Y104" s="651"/>
    </row>
    <row r="105" spans="1:25" ht="15.75" thickTop="1" x14ac:dyDescent="0.25">
      <c r="A105" s="652">
        <f t="shared" si="7"/>
        <v>97</v>
      </c>
      <c r="B105" s="617">
        <f t="shared" si="4"/>
        <v>32152.75</v>
      </c>
      <c r="C105" s="617" t="s">
        <v>106</v>
      </c>
      <c r="D105" s="617">
        <f t="shared" si="5"/>
        <v>32964.75</v>
      </c>
      <c r="E105" s="653">
        <f>E103+1</f>
        <v>49</v>
      </c>
      <c r="F105" s="617">
        <f>32599-787.5+7*E105</f>
        <v>32154.5</v>
      </c>
      <c r="G105" s="654" t="s">
        <v>106</v>
      </c>
      <c r="H105" s="617">
        <f t="shared" si="6"/>
        <v>32966.5</v>
      </c>
      <c r="I105" s="653"/>
      <c r="J105" s="617"/>
      <c r="K105" s="617"/>
      <c r="L105" s="658"/>
      <c r="M105" s="653"/>
      <c r="N105" s="617"/>
      <c r="O105" s="617"/>
      <c r="P105" s="658"/>
      <c r="Q105" s="659"/>
      <c r="R105" s="660"/>
      <c r="S105" s="660"/>
      <c r="T105" s="656"/>
      <c r="U105" s="653">
        <v>3</v>
      </c>
      <c r="V105" s="661">
        <f>32599-784+112*U105</f>
        <v>32151</v>
      </c>
      <c r="W105" s="661" t="s">
        <v>106</v>
      </c>
      <c r="X105" s="661">
        <f>32599+28+112*U105</f>
        <v>32963</v>
      </c>
      <c r="Y105" s="662"/>
    </row>
    <row r="106" spans="1:25" x14ac:dyDescent="0.25">
      <c r="A106" s="606">
        <f t="shared" si="7"/>
        <v>98</v>
      </c>
      <c r="B106" s="617">
        <f t="shared" si="4"/>
        <v>32156.25</v>
      </c>
      <c r="C106" s="617" t="s">
        <v>106</v>
      </c>
      <c r="D106" s="617">
        <f t="shared" si="5"/>
        <v>32968.25</v>
      </c>
      <c r="E106" s="619"/>
      <c r="F106" s="618"/>
      <c r="G106" s="620"/>
      <c r="H106" s="617"/>
      <c r="I106" s="619">
        <f>I102+1</f>
        <v>25</v>
      </c>
      <c r="J106" s="617">
        <f>32599-791+14*I106</f>
        <v>32158</v>
      </c>
      <c r="K106" s="620" t="s">
        <v>106</v>
      </c>
      <c r="L106" s="617">
        <f>32599+21+14*I106</f>
        <v>32970</v>
      </c>
      <c r="M106" s="619"/>
      <c r="N106" s="618"/>
      <c r="O106" s="618"/>
      <c r="P106" s="622"/>
      <c r="Q106" s="663"/>
      <c r="R106" s="624"/>
      <c r="S106" s="624"/>
      <c r="T106" s="622"/>
      <c r="U106" s="619"/>
      <c r="V106" s="624"/>
      <c r="W106" s="624"/>
      <c r="X106" s="624"/>
      <c r="Y106" s="636"/>
    </row>
    <row r="107" spans="1:25" x14ac:dyDescent="0.25">
      <c r="A107" s="606">
        <f t="shared" si="7"/>
        <v>99</v>
      </c>
      <c r="B107" s="617">
        <f t="shared" si="4"/>
        <v>32159.75</v>
      </c>
      <c r="C107" s="617" t="s">
        <v>106</v>
      </c>
      <c r="D107" s="617">
        <f t="shared" si="5"/>
        <v>32971.75</v>
      </c>
      <c r="E107" s="619">
        <f>E105+1</f>
        <v>50</v>
      </c>
      <c r="F107" s="617">
        <f>32599-787.5+7*E107</f>
        <v>32161.5</v>
      </c>
      <c r="G107" s="620" t="s">
        <v>106</v>
      </c>
      <c r="H107" s="617">
        <f t="shared" si="6"/>
        <v>32973.5</v>
      </c>
      <c r="I107" s="619"/>
      <c r="J107" s="618"/>
      <c r="K107" s="620"/>
      <c r="L107" s="621"/>
      <c r="M107" s="619"/>
      <c r="N107" s="618"/>
      <c r="O107" s="618"/>
      <c r="P107" s="622"/>
      <c r="Q107" s="663"/>
      <c r="R107" s="624"/>
      <c r="S107" s="624"/>
      <c r="T107" s="622"/>
      <c r="U107" s="619"/>
      <c r="V107" s="624"/>
      <c r="W107" s="624"/>
      <c r="X107" s="624"/>
      <c r="Y107" s="636"/>
    </row>
    <row r="108" spans="1:25" x14ac:dyDescent="0.25">
      <c r="A108" s="606">
        <f t="shared" si="7"/>
        <v>100</v>
      </c>
      <c r="B108" s="617">
        <f t="shared" si="4"/>
        <v>32163.25</v>
      </c>
      <c r="C108" s="617" t="s">
        <v>106</v>
      </c>
      <c r="D108" s="617">
        <f t="shared" si="5"/>
        <v>32975.25</v>
      </c>
      <c r="E108" s="619"/>
      <c r="F108" s="618"/>
      <c r="G108" s="620"/>
      <c r="H108" s="617"/>
      <c r="I108" s="619"/>
      <c r="J108" s="618"/>
      <c r="K108" s="618"/>
      <c r="L108" s="622"/>
      <c r="M108" s="619">
        <f>M100+1</f>
        <v>13</v>
      </c>
      <c r="N108" s="617">
        <f>32599-798+28*M108</f>
        <v>32165</v>
      </c>
      <c r="O108" s="620" t="s">
        <v>106</v>
      </c>
      <c r="P108" s="621">
        <f>32599+14+28*M108</f>
        <v>32977</v>
      </c>
      <c r="Q108" s="663"/>
      <c r="R108" s="618"/>
      <c r="S108" s="620"/>
      <c r="T108" s="621"/>
      <c r="U108" s="619"/>
      <c r="V108" s="617"/>
      <c r="W108" s="620"/>
      <c r="X108" s="620"/>
      <c r="Y108" s="636"/>
    </row>
    <row r="109" spans="1:25" x14ac:dyDescent="0.25">
      <c r="A109" s="606">
        <f t="shared" si="7"/>
        <v>101</v>
      </c>
      <c r="B109" s="617">
        <f t="shared" si="4"/>
        <v>32166.75</v>
      </c>
      <c r="C109" s="617" t="s">
        <v>106</v>
      </c>
      <c r="D109" s="617">
        <f t="shared" si="5"/>
        <v>32978.75</v>
      </c>
      <c r="E109" s="619">
        <f>E107+1</f>
        <v>51</v>
      </c>
      <c r="F109" s="617">
        <f>32599-787.5+7*E109</f>
        <v>32168.5</v>
      </c>
      <c r="G109" s="620" t="s">
        <v>106</v>
      </c>
      <c r="H109" s="617">
        <f t="shared" si="6"/>
        <v>32980.5</v>
      </c>
      <c r="I109" s="619"/>
      <c r="J109" s="618"/>
      <c r="K109" s="618"/>
      <c r="L109" s="622"/>
      <c r="M109" s="619"/>
      <c r="N109" s="618"/>
      <c r="O109" s="618"/>
      <c r="P109" s="622"/>
      <c r="Q109" s="663"/>
      <c r="R109" s="624"/>
      <c r="S109" s="624"/>
      <c r="T109" s="622"/>
      <c r="U109" s="619"/>
      <c r="V109" s="624"/>
      <c r="W109" s="624"/>
      <c r="X109" s="624"/>
      <c r="Y109" s="636"/>
    </row>
    <row r="110" spans="1:25" x14ac:dyDescent="0.25">
      <c r="A110" s="606">
        <f t="shared" si="7"/>
        <v>102</v>
      </c>
      <c r="B110" s="617">
        <f t="shared" si="4"/>
        <v>32170.25</v>
      </c>
      <c r="C110" s="617" t="s">
        <v>106</v>
      </c>
      <c r="D110" s="617">
        <f t="shared" si="5"/>
        <v>32982.25</v>
      </c>
      <c r="E110" s="619"/>
      <c r="F110" s="618"/>
      <c r="G110" s="620"/>
      <c r="H110" s="617"/>
      <c r="I110" s="619">
        <f>I106+1</f>
        <v>26</v>
      </c>
      <c r="J110" s="617">
        <f>32599-791+14*I110</f>
        <v>32172</v>
      </c>
      <c r="K110" s="620" t="s">
        <v>106</v>
      </c>
      <c r="L110" s="617">
        <f>32599+21+14*I110</f>
        <v>32984</v>
      </c>
      <c r="M110" s="619"/>
      <c r="N110" s="618"/>
      <c r="O110" s="618"/>
      <c r="P110" s="622"/>
      <c r="Q110" s="663"/>
      <c r="R110" s="624"/>
      <c r="S110" s="624"/>
      <c r="T110" s="622"/>
      <c r="U110" s="619"/>
      <c r="V110" s="624"/>
      <c r="W110" s="624"/>
      <c r="X110" s="624"/>
      <c r="Y110" s="636"/>
    </row>
    <row r="111" spans="1:25" x14ac:dyDescent="0.25">
      <c r="A111" s="606">
        <f t="shared" si="7"/>
        <v>103</v>
      </c>
      <c r="B111" s="617">
        <f t="shared" si="4"/>
        <v>32173.75</v>
      </c>
      <c r="C111" s="617" t="s">
        <v>106</v>
      </c>
      <c r="D111" s="617">
        <f t="shared" si="5"/>
        <v>32985.75</v>
      </c>
      <c r="E111" s="619">
        <f>E109+1</f>
        <v>52</v>
      </c>
      <c r="F111" s="617">
        <f>32599-787.5+7*E111</f>
        <v>32175.5</v>
      </c>
      <c r="G111" s="620" t="s">
        <v>106</v>
      </c>
      <c r="H111" s="617">
        <f t="shared" si="6"/>
        <v>32987.5</v>
      </c>
      <c r="I111" s="619"/>
      <c r="J111" s="618"/>
      <c r="K111" s="620"/>
      <c r="L111" s="621"/>
      <c r="M111" s="619"/>
      <c r="N111" s="618"/>
      <c r="O111" s="618"/>
      <c r="P111" s="622"/>
      <c r="Q111" s="663"/>
      <c r="R111" s="624"/>
      <c r="S111" s="624"/>
      <c r="T111" s="622"/>
      <c r="U111" s="619"/>
      <c r="V111" s="624"/>
      <c r="W111" s="624"/>
      <c r="X111" s="624"/>
      <c r="Y111" s="636"/>
    </row>
    <row r="112" spans="1:25" x14ac:dyDescent="0.25">
      <c r="A112" s="606">
        <f t="shared" si="7"/>
        <v>104</v>
      </c>
      <c r="B112" s="617">
        <f t="shared" si="4"/>
        <v>32177.25</v>
      </c>
      <c r="C112" s="617" t="s">
        <v>106</v>
      </c>
      <c r="D112" s="617">
        <f t="shared" si="5"/>
        <v>32989.25</v>
      </c>
      <c r="E112" s="619"/>
      <c r="F112" s="618"/>
      <c r="G112" s="620"/>
      <c r="H112" s="617"/>
      <c r="I112" s="619"/>
      <c r="J112" s="618"/>
      <c r="K112" s="618"/>
      <c r="L112" s="622"/>
      <c r="M112" s="619"/>
      <c r="N112" s="618"/>
      <c r="O112" s="618"/>
      <c r="P112" s="622"/>
      <c r="Q112" s="663">
        <f>Q96+1</f>
        <v>6</v>
      </c>
      <c r="R112" s="617">
        <f>32599-756+56*Q112</f>
        <v>32179</v>
      </c>
      <c r="S112" s="620" t="s">
        <v>106</v>
      </c>
      <c r="T112" s="617">
        <f>32599+56+56*Q112</f>
        <v>32991</v>
      </c>
      <c r="U112" s="619"/>
      <c r="V112" s="624"/>
      <c r="W112" s="624"/>
      <c r="X112" s="624"/>
      <c r="Y112" s="636"/>
    </row>
    <row r="113" spans="1:25" x14ac:dyDescent="0.25">
      <c r="A113" s="606">
        <f t="shared" si="7"/>
        <v>105</v>
      </c>
      <c r="B113" s="617">
        <f t="shared" si="4"/>
        <v>32180.75</v>
      </c>
      <c r="C113" s="617" t="s">
        <v>106</v>
      </c>
      <c r="D113" s="617">
        <f t="shared" si="5"/>
        <v>32992.75</v>
      </c>
      <c r="E113" s="619">
        <f>E111+1</f>
        <v>53</v>
      </c>
      <c r="F113" s="617">
        <f>32599-787.5+7*E113</f>
        <v>32182.5</v>
      </c>
      <c r="G113" s="620" t="s">
        <v>106</v>
      </c>
      <c r="H113" s="617">
        <f t="shared" si="6"/>
        <v>32994.5</v>
      </c>
      <c r="I113" s="619"/>
      <c r="J113" s="618"/>
      <c r="K113" s="618"/>
      <c r="L113" s="622"/>
      <c r="M113" s="619"/>
      <c r="N113" s="618"/>
      <c r="O113" s="618"/>
      <c r="P113" s="622"/>
      <c r="Q113" s="663"/>
      <c r="R113" s="624"/>
      <c r="S113" s="624"/>
      <c r="T113" s="622"/>
      <c r="U113" s="619"/>
      <c r="V113" s="624"/>
      <c r="W113" s="624"/>
      <c r="X113" s="624"/>
      <c r="Y113" s="636"/>
    </row>
    <row r="114" spans="1:25" x14ac:dyDescent="0.25">
      <c r="A114" s="606">
        <f t="shared" si="7"/>
        <v>106</v>
      </c>
      <c r="B114" s="617">
        <f t="shared" si="4"/>
        <v>32184.25</v>
      </c>
      <c r="C114" s="617" t="s">
        <v>106</v>
      </c>
      <c r="D114" s="617">
        <f t="shared" si="5"/>
        <v>32996.25</v>
      </c>
      <c r="E114" s="619"/>
      <c r="F114" s="618"/>
      <c r="G114" s="620"/>
      <c r="H114" s="617"/>
      <c r="I114" s="619">
        <f>I110+1</f>
        <v>27</v>
      </c>
      <c r="J114" s="617">
        <f>32599-791+14*I114</f>
        <v>32186</v>
      </c>
      <c r="K114" s="620" t="s">
        <v>106</v>
      </c>
      <c r="L114" s="617">
        <f>32599+21+14*I114</f>
        <v>32998</v>
      </c>
      <c r="M114" s="619"/>
      <c r="N114" s="618"/>
      <c r="O114" s="618"/>
      <c r="P114" s="622"/>
      <c r="Q114" s="663"/>
      <c r="R114" s="624"/>
      <c r="S114" s="624"/>
      <c r="T114" s="622"/>
      <c r="U114" s="619"/>
      <c r="V114" s="624"/>
      <c r="W114" s="624"/>
      <c r="X114" s="624"/>
      <c r="Y114" s="636"/>
    </row>
    <row r="115" spans="1:25" x14ac:dyDescent="0.25">
      <c r="A115" s="606">
        <f t="shared" si="7"/>
        <v>107</v>
      </c>
      <c r="B115" s="617">
        <f t="shared" si="4"/>
        <v>32187.75</v>
      </c>
      <c r="C115" s="617" t="s">
        <v>106</v>
      </c>
      <c r="D115" s="617">
        <f t="shared" si="5"/>
        <v>32999.75</v>
      </c>
      <c r="E115" s="619">
        <f>E113+1</f>
        <v>54</v>
      </c>
      <c r="F115" s="617">
        <f>32599-787.5+7*E115</f>
        <v>32189.5</v>
      </c>
      <c r="G115" s="620" t="s">
        <v>106</v>
      </c>
      <c r="H115" s="617">
        <f t="shared" si="6"/>
        <v>33001.5</v>
      </c>
      <c r="I115" s="619"/>
      <c r="J115" s="618"/>
      <c r="K115" s="620"/>
      <c r="L115" s="617"/>
      <c r="M115" s="619"/>
      <c r="N115" s="618"/>
      <c r="O115" s="618"/>
      <c r="P115" s="622"/>
      <c r="Q115" s="663"/>
      <c r="R115" s="647"/>
      <c r="S115" s="624"/>
      <c r="T115" s="648"/>
      <c r="U115" s="619"/>
      <c r="V115" s="624"/>
      <c r="W115" s="624"/>
      <c r="X115" s="624"/>
      <c r="Y115" s="636"/>
    </row>
    <row r="116" spans="1:25" x14ac:dyDescent="0.25">
      <c r="A116" s="606">
        <f t="shared" si="7"/>
        <v>108</v>
      </c>
      <c r="B116" s="617">
        <f t="shared" si="4"/>
        <v>32191.25</v>
      </c>
      <c r="C116" s="617" t="s">
        <v>106</v>
      </c>
      <c r="D116" s="617">
        <f t="shared" si="5"/>
        <v>33003.25</v>
      </c>
      <c r="E116" s="619"/>
      <c r="F116" s="618"/>
      <c r="G116" s="620"/>
      <c r="H116" s="617"/>
      <c r="I116" s="619"/>
      <c r="J116" s="618"/>
      <c r="K116" s="618"/>
      <c r="L116" s="622"/>
      <c r="M116" s="619">
        <f>M108+1</f>
        <v>14</v>
      </c>
      <c r="N116" s="617">
        <f>32599-798+28*M116</f>
        <v>32193</v>
      </c>
      <c r="O116" s="620" t="s">
        <v>106</v>
      </c>
      <c r="P116" s="621">
        <f>32599+14+28*M116</f>
        <v>33005</v>
      </c>
      <c r="Q116" s="663"/>
      <c r="R116" s="624"/>
      <c r="S116" s="624"/>
      <c r="T116" s="622"/>
      <c r="U116" s="619"/>
      <c r="V116" s="624"/>
      <c r="W116" s="624"/>
      <c r="X116" s="624"/>
      <c r="Y116" s="636"/>
    </row>
    <row r="117" spans="1:25" x14ac:dyDescent="0.25">
      <c r="A117" s="606">
        <f t="shared" si="7"/>
        <v>109</v>
      </c>
      <c r="B117" s="617">
        <f t="shared" si="4"/>
        <v>32194.75</v>
      </c>
      <c r="C117" s="617" t="s">
        <v>106</v>
      </c>
      <c r="D117" s="617">
        <f t="shared" si="5"/>
        <v>33006.75</v>
      </c>
      <c r="E117" s="619">
        <f>E115+1</f>
        <v>55</v>
      </c>
      <c r="F117" s="617">
        <f>32599-787.5+7*E117</f>
        <v>32196.5</v>
      </c>
      <c r="G117" s="620" t="s">
        <v>106</v>
      </c>
      <c r="H117" s="617">
        <f t="shared" si="6"/>
        <v>33008.5</v>
      </c>
      <c r="I117" s="619"/>
      <c r="J117" s="618"/>
      <c r="K117" s="618"/>
      <c r="L117" s="622"/>
      <c r="M117" s="619"/>
      <c r="N117" s="618"/>
      <c r="O117" s="618"/>
      <c r="P117" s="622"/>
      <c r="Q117" s="663"/>
      <c r="R117" s="624"/>
      <c r="S117" s="624"/>
      <c r="T117" s="622"/>
      <c r="U117" s="619"/>
      <c r="V117" s="624"/>
      <c r="W117" s="624"/>
      <c r="X117" s="624"/>
      <c r="Y117" s="636"/>
    </row>
    <row r="118" spans="1:25" x14ac:dyDescent="0.25">
      <c r="A118" s="606">
        <f t="shared" si="7"/>
        <v>110</v>
      </c>
      <c r="B118" s="617">
        <f t="shared" si="4"/>
        <v>32198.25</v>
      </c>
      <c r="C118" s="617" t="s">
        <v>106</v>
      </c>
      <c r="D118" s="617">
        <f t="shared" si="5"/>
        <v>33010.25</v>
      </c>
      <c r="E118" s="619"/>
      <c r="F118" s="618"/>
      <c r="G118" s="620"/>
      <c r="H118" s="617"/>
      <c r="I118" s="619">
        <f>I114+1</f>
        <v>28</v>
      </c>
      <c r="J118" s="617">
        <f>32599-791+14*I118</f>
        <v>32200</v>
      </c>
      <c r="K118" s="620" t="s">
        <v>106</v>
      </c>
      <c r="L118" s="617">
        <f>32599+21+14*I118</f>
        <v>33012</v>
      </c>
      <c r="M118" s="619"/>
      <c r="N118" s="618"/>
      <c r="O118" s="618"/>
      <c r="P118" s="622"/>
      <c r="Q118" s="663"/>
      <c r="R118" s="647"/>
      <c r="S118" s="647"/>
      <c r="T118" s="648"/>
      <c r="U118" s="619"/>
      <c r="V118" s="624"/>
      <c r="W118" s="624"/>
      <c r="X118" s="624"/>
      <c r="Y118" s="636"/>
    </row>
    <row r="119" spans="1:25" x14ac:dyDescent="0.25">
      <c r="A119" s="642">
        <f t="shared" si="7"/>
        <v>111</v>
      </c>
      <c r="B119" s="617">
        <f t="shared" si="4"/>
        <v>32201.75</v>
      </c>
      <c r="C119" s="673" t="s">
        <v>106</v>
      </c>
      <c r="D119" s="617">
        <f t="shared" si="5"/>
        <v>33013.75</v>
      </c>
      <c r="E119" s="645">
        <f>E117+1</f>
        <v>56</v>
      </c>
      <c r="F119" s="617">
        <f>32599-787.5+7*E119</f>
        <v>32203.5</v>
      </c>
      <c r="G119" s="644" t="s">
        <v>106</v>
      </c>
      <c r="H119" s="617">
        <f t="shared" si="6"/>
        <v>33015.5</v>
      </c>
      <c r="I119" s="645"/>
      <c r="J119" s="643"/>
      <c r="K119" s="644"/>
      <c r="L119" s="674"/>
      <c r="M119" s="645"/>
      <c r="N119" s="643"/>
      <c r="O119" s="643"/>
      <c r="P119" s="622"/>
      <c r="Q119" s="663"/>
      <c r="R119" s="624"/>
      <c r="S119" s="624"/>
      <c r="T119" s="622"/>
      <c r="U119" s="645"/>
      <c r="V119" s="624"/>
      <c r="W119" s="624"/>
      <c r="X119" s="624"/>
      <c r="Y119" s="651"/>
    </row>
    <row r="120" spans="1:25" ht="15.75" thickBot="1" x14ac:dyDescent="0.3">
      <c r="A120" s="664">
        <f t="shared" si="7"/>
        <v>112</v>
      </c>
      <c r="B120" s="665">
        <f t="shared" si="4"/>
        <v>32205.25</v>
      </c>
      <c r="C120" s="665" t="s">
        <v>106</v>
      </c>
      <c r="D120" s="665">
        <f t="shared" si="5"/>
        <v>33017.25</v>
      </c>
      <c r="E120" s="666"/>
      <c r="F120" s="665"/>
      <c r="G120" s="667"/>
      <c r="H120" s="665"/>
      <c r="I120" s="666"/>
      <c r="J120" s="665"/>
      <c r="K120" s="643"/>
      <c r="L120" s="648"/>
      <c r="M120" s="645"/>
      <c r="N120" s="665"/>
      <c r="O120" s="665"/>
      <c r="P120" s="668"/>
      <c r="Q120" s="669"/>
      <c r="R120" s="647"/>
      <c r="S120" s="647"/>
      <c r="T120" s="648"/>
      <c r="U120" s="675"/>
      <c r="V120" s="617"/>
      <c r="W120" s="671"/>
      <c r="X120" s="617"/>
      <c r="Y120" s="651"/>
    </row>
    <row r="121" spans="1:25" ht="15.75" thickTop="1" x14ac:dyDescent="0.25">
      <c r="A121" s="652">
        <f t="shared" si="7"/>
        <v>113</v>
      </c>
      <c r="B121" s="617">
        <f t="shared" si="4"/>
        <v>32208.75</v>
      </c>
      <c r="C121" s="617" t="s">
        <v>106</v>
      </c>
      <c r="D121" s="617">
        <f t="shared" si="5"/>
        <v>33020.75</v>
      </c>
      <c r="E121" s="653">
        <f>E119+1</f>
        <v>57</v>
      </c>
      <c r="F121" s="617">
        <f>32599-787.5+7*E121</f>
        <v>32210.5</v>
      </c>
      <c r="G121" s="654" t="s">
        <v>106</v>
      </c>
      <c r="H121" s="617">
        <f t="shared" si="6"/>
        <v>33022.5</v>
      </c>
      <c r="I121" s="653"/>
      <c r="J121" s="617"/>
      <c r="K121" s="655"/>
      <c r="L121" s="656"/>
      <c r="M121" s="657"/>
      <c r="N121" s="617"/>
      <c r="O121" s="617"/>
      <c r="P121" s="658"/>
      <c r="Q121" s="659"/>
      <c r="R121" s="660"/>
      <c r="S121" s="660"/>
      <c r="T121" s="656"/>
      <c r="U121" s="657"/>
      <c r="V121" s="660"/>
      <c r="W121" s="660"/>
      <c r="X121" s="660"/>
      <c r="Y121" s="662"/>
    </row>
    <row r="122" spans="1:25" x14ac:dyDescent="0.25">
      <c r="A122" s="606">
        <f t="shared" si="7"/>
        <v>114</v>
      </c>
      <c r="B122" s="617">
        <f t="shared" si="4"/>
        <v>32212.25</v>
      </c>
      <c r="C122" s="617" t="s">
        <v>106</v>
      </c>
      <c r="D122" s="617">
        <f t="shared" si="5"/>
        <v>33024.25</v>
      </c>
      <c r="E122" s="619"/>
      <c r="F122" s="618"/>
      <c r="G122" s="620"/>
      <c r="H122" s="617"/>
      <c r="I122" s="619">
        <f>I118+1</f>
        <v>29</v>
      </c>
      <c r="J122" s="617">
        <f>32599-791+14*I122</f>
        <v>32214</v>
      </c>
      <c r="K122" s="620" t="s">
        <v>106</v>
      </c>
      <c r="L122" s="617">
        <f>32599+21+14*I122</f>
        <v>33026</v>
      </c>
      <c r="M122" s="619"/>
      <c r="N122" s="618"/>
      <c r="O122" s="618"/>
      <c r="P122" s="622"/>
      <c r="Q122" s="663"/>
      <c r="R122" s="624"/>
      <c r="S122" s="624"/>
      <c r="T122" s="622"/>
      <c r="U122" s="619"/>
      <c r="V122" s="624"/>
      <c r="W122" s="624"/>
      <c r="X122" s="624"/>
      <c r="Y122" s="636"/>
    </row>
    <row r="123" spans="1:25" x14ac:dyDescent="0.25">
      <c r="A123" s="606">
        <f t="shared" si="7"/>
        <v>115</v>
      </c>
      <c r="B123" s="617">
        <f t="shared" si="4"/>
        <v>32215.75</v>
      </c>
      <c r="C123" s="617" t="s">
        <v>106</v>
      </c>
      <c r="D123" s="617">
        <f t="shared" si="5"/>
        <v>33027.75</v>
      </c>
      <c r="E123" s="619">
        <f>E121+1</f>
        <v>58</v>
      </c>
      <c r="F123" s="617">
        <f>32599-787.5+7*E123</f>
        <v>32217.5</v>
      </c>
      <c r="G123" s="620" t="s">
        <v>106</v>
      </c>
      <c r="H123" s="617">
        <f t="shared" si="6"/>
        <v>33029.5</v>
      </c>
      <c r="I123" s="619"/>
      <c r="J123" s="618"/>
      <c r="K123" s="620"/>
      <c r="L123" s="621"/>
      <c r="M123" s="619"/>
      <c r="N123" s="618"/>
      <c r="O123" s="618"/>
      <c r="P123" s="622"/>
      <c r="Q123" s="663"/>
      <c r="R123" s="624"/>
      <c r="S123" s="624"/>
      <c r="T123" s="622"/>
      <c r="U123" s="619"/>
      <c r="V123" s="624"/>
      <c r="W123" s="624"/>
      <c r="X123" s="624"/>
      <c r="Y123" s="636"/>
    </row>
    <row r="124" spans="1:25" x14ac:dyDescent="0.25">
      <c r="A124" s="606">
        <f t="shared" si="7"/>
        <v>116</v>
      </c>
      <c r="B124" s="617">
        <f t="shared" si="4"/>
        <v>32219.25</v>
      </c>
      <c r="C124" s="617" t="s">
        <v>106</v>
      </c>
      <c r="D124" s="617">
        <f t="shared" si="5"/>
        <v>33031.25</v>
      </c>
      <c r="E124" s="619"/>
      <c r="F124" s="618"/>
      <c r="G124" s="620"/>
      <c r="H124" s="617"/>
      <c r="I124" s="619"/>
      <c r="J124" s="618"/>
      <c r="K124" s="618"/>
      <c r="L124" s="622"/>
      <c r="M124" s="619">
        <f>M116+1</f>
        <v>15</v>
      </c>
      <c r="N124" s="617">
        <f>32599-798+28*M124</f>
        <v>32221</v>
      </c>
      <c r="O124" s="620" t="s">
        <v>106</v>
      </c>
      <c r="P124" s="621">
        <f>32599+14+28*M124</f>
        <v>33033</v>
      </c>
      <c r="Q124" s="663"/>
      <c r="R124" s="618"/>
      <c r="S124" s="620"/>
      <c r="T124" s="621"/>
      <c r="U124" s="619"/>
      <c r="V124" s="618"/>
      <c r="W124" s="620"/>
      <c r="X124" s="620"/>
      <c r="Y124" s="636"/>
    </row>
    <row r="125" spans="1:25" x14ac:dyDescent="0.25">
      <c r="A125" s="606">
        <f t="shared" si="7"/>
        <v>117</v>
      </c>
      <c r="B125" s="617">
        <f t="shared" si="4"/>
        <v>32222.75</v>
      </c>
      <c r="C125" s="617" t="s">
        <v>106</v>
      </c>
      <c r="D125" s="617">
        <f t="shared" si="5"/>
        <v>33034.75</v>
      </c>
      <c r="E125" s="619">
        <f>E123+1</f>
        <v>59</v>
      </c>
      <c r="F125" s="617">
        <f>32599-787.5+7*E125</f>
        <v>32224.5</v>
      </c>
      <c r="G125" s="620" t="s">
        <v>106</v>
      </c>
      <c r="H125" s="617">
        <f t="shared" si="6"/>
        <v>33036.5</v>
      </c>
      <c r="I125" s="619"/>
      <c r="J125" s="618"/>
      <c r="K125" s="618"/>
      <c r="L125" s="622"/>
      <c r="M125" s="619"/>
      <c r="N125" s="618"/>
      <c r="O125" s="618"/>
      <c r="P125" s="622"/>
      <c r="Q125" s="663"/>
      <c r="R125" s="624"/>
      <c r="S125" s="624"/>
      <c r="T125" s="622"/>
      <c r="U125" s="619"/>
      <c r="V125" s="624"/>
      <c r="W125" s="624"/>
      <c r="X125" s="624"/>
      <c r="Y125" s="636"/>
    </row>
    <row r="126" spans="1:25" x14ac:dyDescent="0.25">
      <c r="A126" s="606">
        <f t="shared" si="7"/>
        <v>118</v>
      </c>
      <c r="B126" s="617">
        <f t="shared" si="4"/>
        <v>32226.25</v>
      </c>
      <c r="C126" s="617" t="s">
        <v>106</v>
      </c>
      <c r="D126" s="617">
        <f t="shared" si="5"/>
        <v>33038.25</v>
      </c>
      <c r="E126" s="619"/>
      <c r="F126" s="618"/>
      <c r="G126" s="620"/>
      <c r="H126" s="617"/>
      <c r="I126" s="619">
        <f>I122+1</f>
        <v>30</v>
      </c>
      <c r="J126" s="617">
        <f>32599-791+14*I126</f>
        <v>32228</v>
      </c>
      <c r="K126" s="620" t="s">
        <v>106</v>
      </c>
      <c r="L126" s="617">
        <f>32599+21+14*I126</f>
        <v>33040</v>
      </c>
      <c r="M126" s="619"/>
      <c r="N126" s="618"/>
      <c r="O126" s="618"/>
      <c r="P126" s="622"/>
      <c r="Q126" s="663"/>
      <c r="R126" s="624"/>
      <c r="S126" s="624"/>
      <c r="T126" s="622"/>
      <c r="U126" s="619"/>
      <c r="V126" s="624"/>
      <c r="W126" s="624"/>
      <c r="X126" s="624"/>
      <c r="Y126" s="636"/>
    </row>
    <row r="127" spans="1:25" x14ac:dyDescent="0.25">
      <c r="A127" s="606">
        <f t="shared" si="7"/>
        <v>119</v>
      </c>
      <c r="B127" s="617">
        <f t="shared" si="4"/>
        <v>32229.75</v>
      </c>
      <c r="C127" s="617" t="s">
        <v>106</v>
      </c>
      <c r="D127" s="617">
        <f t="shared" si="5"/>
        <v>33041.75</v>
      </c>
      <c r="E127" s="619">
        <f>E125+1</f>
        <v>60</v>
      </c>
      <c r="F127" s="617">
        <f>32599-787.5+7*E127</f>
        <v>32231.5</v>
      </c>
      <c r="G127" s="620" t="s">
        <v>106</v>
      </c>
      <c r="H127" s="617">
        <f t="shared" si="6"/>
        <v>33043.5</v>
      </c>
      <c r="I127" s="619"/>
      <c r="J127" s="618"/>
      <c r="K127" s="620"/>
      <c r="L127" s="621"/>
      <c r="M127" s="619"/>
      <c r="N127" s="618"/>
      <c r="O127" s="618"/>
      <c r="P127" s="622"/>
      <c r="Q127" s="663"/>
      <c r="R127" s="624"/>
      <c r="S127" s="624"/>
      <c r="T127" s="622"/>
      <c r="U127" s="619"/>
      <c r="V127" s="624"/>
      <c r="W127" s="624"/>
      <c r="X127" s="624"/>
      <c r="Y127" s="636"/>
    </row>
    <row r="128" spans="1:25" x14ac:dyDescent="0.25">
      <c r="A128" s="606">
        <f t="shared" si="7"/>
        <v>120</v>
      </c>
      <c r="B128" s="617">
        <f t="shared" si="4"/>
        <v>32233.25</v>
      </c>
      <c r="C128" s="617" t="s">
        <v>106</v>
      </c>
      <c r="D128" s="617">
        <f t="shared" si="5"/>
        <v>33045.25</v>
      </c>
      <c r="E128" s="619"/>
      <c r="F128" s="618"/>
      <c r="G128" s="620"/>
      <c r="H128" s="617"/>
      <c r="I128" s="619"/>
      <c r="J128" s="618"/>
      <c r="K128" s="618"/>
      <c r="L128" s="622"/>
      <c r="M128" s="619"/>
      <c r="N128" s="618"/>
      <c r="O128" s="618"/>
      <c r="P128" s="622"/>
      <c r="Q128" s="663">
        <f>Q112+1</f>
        <v>7</v>
      </c>
      <c r="R128" s="617">
        <f>32599-756+56*Q128</f>
        <v>32235</v>
      </c>
      <c r="S128" s="620" t="s">
        <v>106</v>
      </c>
      <c r="T128" s="617">
        <f>32599+56+56*Q128</f>
        <v>33047</v>
      </c>
      <c r="U128" s="619"/>
      <c r="V128" s="624"/>
      <c r="W128" s="624"/>
      <c r="X128" s="624"/>
      <c r="Y128" s="636"/>
    </row>
    <row r="129" spans="1:25" x14ac:dyDescent="0.25">
      <c r="A129" s="606">
        <f t="shared" si="7"/>
        <v>121</v>
      </c>
      <c r="B129" s="617">
        <f t="shared" si="4"/>
        <v>32236.75</v>
      </c>
      <c r="C129" s="617" t="s">
        <v>106</v>
      </c>
      <c r="D129" s="617">
        <f t="shared" si="5"/>
        <v>33048.75</v>
      </c>
      <c r="E129" s="619">
        <f>E127+1</f>
        <v>61</v>
      </c>
      <c r="F129" s="617">
        <f>32599-787.5+7*E129</f>
        <v>32238.5</v>
      </c>
      <c r="G129" s="620" t="s">
        <v>106</v>
      </c>
      <c r="H129" s="617">
        <f t="shared" si="6"/>
        <v>33050.5</v>
      </c>
      <c r="I129" s="619"/>
      <c r="J129" s="618"/>
      <c r="K129" s="618"/>
      <c r="L129" s="622"/>
      <c r="M129" s="619"/>
      <c r="N129" s="618"/>
      <c r="O129" s="618"/>
      <c r="P129" s="622"/>
      <c r="Q129" s="663"/>
      <c r="R129" s="624"/>
      <c r="S129" s="624"/>
      <c r="T129" s="622"/>
      <c r="U129" s="619"/>
      <c r="V129" s="624"/>
      <c r="W129" s="624"/>
      <c r="X129" s="624"/>
      <c r="Y129" s="636"/>
    </row>
    <row r="130" spans="1:25" x14ac:dyDescent="0.25">
      <c r="A130" s="606">
        <f t="shared" si="7"/>
        <v>122</v>
      </c>
      <c r="B130" s="617">
        <f t="shared" si="4"/>
        <v>32240.25</v>
      </c>
      <c r="C130" s="617" t="s">
        <v>106</v>
      </c>
      <c r="D130" s="617">
        <f t="shared" si="5"/>
        <v>33052.25</v>
      </c>
      <c r="E130" s="619"/>
      <c r="F130" s="618"/>
      <c r="G130" s="620"/>
      <c r="H130" s="617"/>
      <c r="I130" s="619">
        <f>I126+1</f>
        <v>31</v>
      </c>
      <c r="J130" s="617">
        <f>32599-791+14*I130</f>
        <v>32242</v>
      </c>
      <c r="K130" s="620" t="s">
        <v>106</v>
      </c>
      <c r="L130" s="617">
        <f>32599+21+14*I130</f>
        <v>33054</v>
      </c>
      <c r="M130" s="619"/>
      <c r="N130" s="618"/>
      <c r="O130" s="618"/>
      <c r="P130" s="622"/>
      <c r="Q130" s="663"/>
      <c r="R130" s="624"/>
      <c r="S130" s="624"/>
      <c r="T130" s="622"/>
      <c r="U130" s="619"/>
      <c r="V130" s="624"/>
      <c r="W130" s="624"/>
      <c r="X130" s="624"/>
      <c r="Y130" s="636"/>
    </row>
    <row r="131" spans="1:25" x14ac:dyDescent="0.25">
      <c r="A131" s="606">
        <f t="shared" si="7"/>
        <v>123</v>
      </c>
      <c r="B131" s="617">
        <f t="shared" si="4"/>
        <v>32243.75</v>
      </c>
      <c r="C131" s="617" t="s">
        <v>106</v>
      </c>
      <c r="D131" s="617">
        <f t="shared" si="5"/>
        <v>33055.75</v>
      </c>
      <c r="E131" s="619">
        <f>E129+1</f>
        <v>62</v>
      </c>
      <c r="F131" s="617">
        <f>32599-787.5+7*E131</f>
        <v>32245.5</v>
      </c>
      <c r="G131" s="620" t="s">
        <v>106</v>
      </c>
      <c r="H131" s="617">
        <f t="shared" si="6"/>
        <v>33057.5</v>
      </c>
      <c r="I131" s="619"/>
      <c r="J131" s="618"/>
      <c r="K131" s="620"/>
      <c r="L131" s="621"/>
      <c r="M131" s="619"/>
      <c r="N131" s="618"/>
      <c r="O131" s="618"/>
      <c r="P131" s="622"/>
      <c r="Q131" s="663"/>
      <c r="R131" s="647"/>
      <c r="S131" s="624"/>
      <c r="T131" s="648"/>
      <c r="U131" s="619"/>
      <c r="V131" s="624"/>
      <c r="W131" s="624"/>
      <c r="X131" s="624"/>
      <c r="Y131" s="636"/>
    </row>
    <row r="132" spans="1:25" x14ac:dyDescent="0.25">
      <c r="A132" s="606">
        <f t="shared" si="7"/>
        <v>124</v>
      </c>
      <c r="B132" s="617">
        <f t="shared" si="4"/>
        <v>32247.25</v>
      </c>
      <c r="C132" s="617" t="s">
        <v>106</v>
      </c>
      <c r="D132" s="617">
        <f t="shared" si="5"/>
        <v>33059.25</v>
      </c>
      <c r="E132" s="619"/>
      <c r="F132" s="618"/>
      <c r="G132" s="620"/>
      <c r="H132" s="617"/>
      <c r="I132" s="619"/>
      <c r="J132" s="618"/>
      <c r="K132" s="618"/>
      <c r="L132" s="622"/>
      <c r="M132" s="619">
        <f>M124+1</f>
        <v>16</v>
      </c>
      <c r="N132" s="617">
        <f>32599-798+28*M132</f>
        <v>32249</v>
      </c>
      <c r="O132" s="620" t="s">
        <v>106</v>
      </c>
      <c r="P132" s="621">
        <f>32599+14+28*M132</f>
        <v>33061</v>
      </c>
      <c r="Q132" s="663"/>
      <c r="R132" s="624"/>
      <c r="S132" s="624"/>
      <c r="T132" s="622"/>
      <c r="U132" s="619"/>
      <c r="V132" s="624"/>
      <c r="W132" s="624"/>
      <c r="X132" s="624"/>
      <c r="Y132" s="636"/>
    </row>
    <row r="133" spans="1:25" x14ac:dyDescent="0.25">
      <c r="A133" s="606">
        <f t="shared" si="7"/>
        <v>125</v>
      </c>
      <c r="B133" s="617">
        <f t="shared" si="4"/>
        <v>32250.75</v>
      </c>
      <c r="C133" s="617" t="s">
        <v>106</v>
      </c>
      <c r="D133" s="617">
        <f t="shared" si="5"/>
        <v>33062.75</v>
      </c>
      <c r="E133" s="619">
        <f>E131+1</f>
        <v>63</v>
      </c>
      <c r="F133" s="617">
        <f>32599-787.5+7*E133</f>
        <v>32252.5</v>
      </c>
      <c r="G133" s="620" t="s">
        <v>106</v>
      </c>
      <c r="H133" s="617">
        <f t="shared" si="6"/>
        <v>33064.5</v>
      </c>
      <c r="I133" s="619"/>
      <c r="J133" s="618"/>
      <c r="K133" s="618"/>
      <c r="L133" s="622"/>
      <c r="M133" s="619"/>
      <c r="N133" s="618"/>
      <c r="O133" s="618"/>
      <c r="P133" s="622"/>
      <c r="Q133" s="663"/>
      <c r="R133" s="624"/>
      <c r="S133" s="624"/>
      <c r="T133" s="622"/>
      <c r="U133" s="619"/>
      <c r="V133" s="624"/>
      <c r="W133" s="624"/>
      <c r="X133" s="624"/>
      <c r="Y133" s="636"/>
    </row>
    <row r="134" spans="1:25" x14ac:dyDescent="0.25">
      <c r="A134" s="606">
        <f t="shared" si="7"/>
        <v>126</v>
      </c>
      <c r="B134" s="617">
        <f t="shared" si="4"/>
        <v>32254.25</v>
      </c>
      <c r="C134" s="617" t="s">
        <v>106</v>
      </c>
      <c r="D134" s="617">
        <f t="shared" si="5"/>
        <v>33066.25</v>
      </c>
      <c r="E134" s="619"/>
      <c r="F134" s="617"/>
      <c r="G134" s="620"/>
      <c r="H134" s="617"/>
      <c r="I134" s="619">
        <f>I130+1</f>
        <v>32</v>
      </c>
      <c r="J134" s="617">
        <f>32599-791+14*I134</f>
        <v>32256</v>
      </c>
      <c r="K134" s="620" t="s">
        <v>106</v>
      </c>
      <c r="L134" s="617">
        <f>32599+21+14*I134</f>
        <v>33068</v>
      </c>
      <c r="M134" s="619"/>
      <c r="N134" s="618"/>
      <c r="O134" s="618"/>
      <c r="P134" s="622"/>
      <c r="Q134" s="663"/>
      <c r="R134" s="647"/>
      <c r="S134" s="647"/>
      <c r="T134" s="648"/>
      <c r="U134" s="619"/>
      <c r="V134" s="624"/>
      <c r="W134" s="624"/>
      <c r="X134" s="624"/>
      <c r="Y134" s="636"/>
    </row>
    <row r="135" spans="1:25" x14ac:dyDescent="0.25">
      <c r="A135" s="606">
        <f t="shared" si="7"/>
        <v>127</v>
      </c>
      <c r="B135" s="617">
        <f t="shared" si="4"/>
        <v>32257.75</v>
      </c>
      <c r="C135" s="617" t="s">
        <v>106</v>
      </c>
      <c r="D135" s="617">
        <f t="shared" si="5"/>
        <v>33069.75</v>
      </c>
      <c r="E135" s="619">
        <f>E133+1</f>
        <v>64</v>
      </c>
      <c r="F135" s="617">
        <f>32599-787.5+7*E135</f>
        <v>32259.5</v>
      </c>
      <c r="G135" s="620" t="s">
        <v>106</v>
      </c>
      <c r="H135" s="617">
        <f t="shared" si="6"/>
        <v>33071.5</v>
      </c>
      <c r="I135" s="619"/>
      <c r="J135" s="618"/>
      <c r="K135" s="620"/>
      <c r="L135" s="621"/>
      <c r="M135" s="619"/>
      <c r="N135" s="618"/>
      <c r="O135" s="618"/>
      <c r="P135" s="622"/>
      <c r="Q135" s="669"/>
      <c r="R135" s="647"/>
      <c r="S135" s="647"/>
      <c r="T135" s="648"/>
      <c r="U135" s="619"/>
      <c r="V135" s="624"/>
      <c r="W135" s="624"/>
      <c r="X135" s="624"/>
      <c r="Y135" s="636"/>
    </row>
    <row r="136" spans="1:25" ht="15.75" thickBot="1" x14ac:dyDescent="0.3">
      <c r="A136" s="664">
        <f t="shared" si="7"/>
        <v>128</v>
      </c>
      <c r="B136" s="665">
        <f t="shared" si="4"/>
        <v>32261.25</v>
      </c>
      <c r="C136" s="665" t="s">
        <v>106</v>
      </c>
      <c r="D136" s="665">
        <f t="shared" si="5"/>
        <v>33073.25</v>
      </c>
      <c r="E136" s="666"/>
      <c r="F136" s="665"/>
      <c r="G136" s="667"/>
      <c r="H136" s="665"/>
      <c r="I136" s="666"/>
      <c r="J136" s="665"/>
      <c r="K136" s="643"/>
      <c r="L136" s="648"/>
      <c r="M136" s="645"/>
      <c r="N136" s="643"/>
      <c r="O136" s="665"/>
      <c r="P136" s="676"/>
      <c r="Q136" s="669"/>
      <c r="R136" s="647"/>
      <c r="S136" s="647"/>
      <c r="T136" s="648"/>
      <c r="U136" s="645"/>
      <c r="V136" s="647"/>
      <c r="W136" s="647"/>
      <c r="X136" s="647"/>
      <c r="Y136" s="651"/>
    </row>
    <row r="137" spans="1:25" ht="15.75" thickTop="1" x14ac:dyDescent="0.25">
      <c r="A137" s="652">
        <f t="shared" si="7"/>
        <v>129</v>
      </c>
      <c r="B137" s="617">
        <f t="shared" si="4"/>
        <v>32264.75</v>
      </c>
      <c r="C137" s="617" t="s">
        <v>106</v>
      </c>
      <c r="D137" s="617">
        <f t="shared" si="5"/>
        <v>33076.75</v>
      </c>
      <c r="E137" s="653">
        <f>E135+1</f>
        <v>65</v>
      </c>
      <c r="F137" s="617">
        <f>32599-787.5+7*E137</f>
        <v>32266.5</v>
      </c>
      <c r="G137" s="654" t="s">
        <v>106</v>
      </c>
      <c r="H137" s="617">
        <f t="shared" si="6"/>
        <v>33078.5</v>
      </c>
      <c r="I137" s="653"/>
      <c r="J137" s="617"/>
      <c r="K137" s="655"/>
      <c r="L137" s="656"/>
      <c r="M137" s="657"/>
      <c r="N137" s="655"/>
      <c r="O137" s="617"/>
      <c r="P137" s="658"/>
      <c r="Q137" s="659"/>
      <c r="R137" s="660"/>
      <c r="S137" s="660"/>
      <c r="T137" s="656"/>
      <c r="U137" s="657">
        <v>4</v>
      </c>
      <c r="V137" s="660">
        <f>32599-784+112*U137</f>
        <v>32263</v>
      </c>
      <c r="W137" s="660" t="s">
        <v>106</v>
      </c>
      <c r="X137" s="660">
        <f>32599+28+112*U137</f>
        <v>33075</v>
      </c>
      <c r="Y137" s="662"/>
    </row>
    <row r="138" spans="1:25" x14ac:dyDescent="0.25">
      <c r="A138" s="606">
        <f t="shared" si="7"/>
        <v>130</v>
      </c>
      <c r="B138" s="617">
        <f t="shared" ref="B138:B201" si="8">32599-785.75+3.5*A138</f>
        <v>32268.25</v>
      </c>
      <c r="C138" s="617" t="s">
        <v>106</v>
      </c>
      <c r="D138" s="617">
        <f t="shared" ref="D138:D201" si="9">32599+26.25+3.5*A138</f>
        <v>33080.25</v>
      </c>
      <c r="E138" s="619"/>
      <c r="F138" s="618"/>
      <c r="G138" s="620"/>
      <c r="H138" s="617"/>
      <c r="I138" s="619">
        <f>I134+1</f>
        <v>33</v>
      </c>
      <c r="J138" s="617">
        <f>32599-791+14*I138</f>
        <v>32270</v>
      </c>
      <c r="K138" s="620" t="s">
        <v>106</v>
      </c>
      <c r="L138" s="617">
        <f>32599+21+14*I138</f>
        <v>33082</v>
      </c>
      <c r="M138" s="619"/>
      <c r="N138" s="618"/>
      <c r="O138" s="618"/>
      <c r="P138" s="622"/>
      <c r="Q138" s="663"/>
      <c r="R138" s="624"/>
      <c r="S138" s="624"/>
      <c r="T138" s="622"/>
      <c r="U138" s="619"/>
      <c r="V138" s="624"/>
      <c r="W138" s="624"/>
      <c r="X138" s="624"/>
      <c r="Y138" s="636"/>
    </row>
    <row r="139" spans="1:25" x14ac:dyDescent="0.25">
      <c r="A139" s="606">
        <f t="shared" si="7"/>
        <v>131</v>
      </c>
      <c r="B139" s="617">
        <f t="shared" si="8"/>
        <v>32271.75</v>
      </c>
      <c r="C139" s="617" t="s">
        <v>106</v>
      </c>
      <c r="D139" s="617">
        <f t="shared" si="9"/>
        <v>33083.75</v>
      </c>
      <c r="E139" s="619">
        <f>E137+1</f>
        <v>66</v>
      </c>
      <c r="F139" s="617">
        <f>32599-787.5+7*E139</f>
        <v>32273.5</v>
      </c>
      <c r="G139" s="620" t="s">
        <v>106</v>
      </c>
      <c r="H139" s="617">
        <f t="shared" ref="H139:H201" si="10">32599+24.5+7*E139</f>
        <v>33085.5</v>
      </c>
      <c r="I139" s="619"/>
      <c r="J139" s="617"/>
      <c r="K139" s="620"/>
      <c r="L139" s="621"/>
      <c r="M139" s="619"/>
      <c r="N139" s="618"/>
      <c r="O139" s="618"/>
      <c r="P139" s="622"/>
      <c r="Q139" s="663"/>
      <c r="R139" s="624"/>
      <c r="S139" s="624"/>
      <c r="T139" s="622"/>
      <c r="U139" s="619"/>
      <c r="V139" s="624"/>
      <c r="W139" s="624"/>
      <c r="X139" s="624"/>
      <c r="Y139" s="636"/>
    </row>
    <row r="140" spans="1:25" x14ac:dyDescent="0.25">
      <c r="A140" s="606">
        <f t="shared" si="7"/>
        <v>132</v>
      </c>
      <c r="B140" s="617">
        <f t="shared" si="8"/>
        <v>32275.25</v>
      </c>
      <c r="C140" s="617" t="s">
        <v>106</v>
      </c>
      <c r="D140" s="617">
        <f t="shared" si="9"/>
        <v>33087.25</v>
      </c>
      <c r="E140" s="619"/>
      <c r="F140" s="618"/>
      <c r="G140" s="620"/>
      <c r="H140" s="617"/>
      <c r="I140" s="619"/>
      <c r="J140" s="618"/>
      <c r="K140" s="618"/>
      <c r="L140" s="622"/>
      <c r="M140" s="619">
        <f>M132+1</f>
        <v>17</v>
      </c>
      <c r="N140" s="617">
        <f>32599-798+28*M140</f>
        <v>32277</v>
      </c>
      <c r="O140" s="620" t="s">
        <v>106</v>
      </c>
      <c r="P140" s="621">
        <f>32599+14+28*M140</f>
        <v>33089</v>
      </c>
      <c r="Q140" s="663"/>
      <c r="R140" s="618"/>
      <c r="S140" s="620"/>
      <c r="T140" s="621"/>
      <c r="U140" s="619"/>
      <c r="V140" s="624"/>
      <c r="W140" s="624"/>
      <c r="X140" s="624"/>
      <c r="Y140" s="636"/>
    </row>
    <row r="141" spans="1:25" x14ac:dyDescent="0.25">
      <c r="A141" s="606">
        <f t="shared" si="7"/>
        <v>133</v>
      </c>
      <c r="B141" s="617">
        <f t="shared" si="8"/>
        <v>32278.75</v>
      </c>
      <c r="C141" s="617" t="s">
        <v>106</v>
      </c>
      <c r="D141" s="617">
        <f t="shared" si="9"/>
        <v>33090.75</v>
      </c>
      <c r="E141" s="619">
        <f>E139+1</f>
        <v>67</v>
      </c>
      <c r="F141" s="617">
        <f>32599-787.5+7*E141</f>
        <v>32280.5</v>
      </c>
      <c r="G141" s="620" t="s">
        <v>106</v>
      </c>
      <c r="H141" s="617">
        <f t="shared" si="10"/>
        <v>33092.5</v>
      </c>
      <c r="I141" s="619"/>
      <c r="J141" s="618"/>
      <c r="K141" s="618"/>
      <c r="L141" s="622"/>
      <c r="M141" s="619"/>
      <c r="N141" s="618"/>
      <c r="O141" s="618"/>
      <c r="P141" s="622"/>
      <c r="Q141" s="663"/>
      <c r="R141" s="624"/>
      <c r="S141" s="624"/>
      <c r="T141" s="622"/>
      <c r="U141" s="619"/>
      <c r="V141" s="624"/>
      <c r="W141" s="624"/>
      <c r="X141" s="624"/>
      <c r="Y141" s="636"/>
    </row>
    <row r="142" spans="1:25" x14ac:dyDescent="0.25">
      <c r="A142" s="606">
        <f t="shared" si="7"/>
        <v>134</v>
      </c>
      <c r="B142" s="617">
        <f t="shared" si="8"/>
        <v>32282.25</v>
      </c>
      <c r="C142" s="617" t="s">
        <v>106</v>
      </c>
      <c r="D142" s="617">
        <f t="shared" si="9"/>
        <v>33094.25</v>
      </c>
      <c r="E142" s="619"/>
      <c r="F142" s="618"/>
      <c r="G142" s="620"/>
      <c r="H142" s="617"/>
      <c r="I142" s="619">
        <f>I138+1</f>
        <v>34</v>
      </c>
      <c r="J142" s="617">
        <f>32599-791+14*I142</f>
        <v>32284</v>
      </c>
      <c r="K142" s="620" t="s">
        <v>106</v>
      </c>
      <c r="L142" s="617">
        <f>32599+21+14*I142</f>
        <v>33096</v>
      </c>
      <c r="M142" s="619"/>
      <c r="N142" s="618"/>
      <c r="O142" s="618"/>
      <c r="P142" s="622"/>
      <c r="Q142" s="663"/>
      <c r="R142" s="624"/>
      <c r="S142" s="624"/>
      <c r="T142" s="622"/>
      <c r="U142" s="619"/>
      <c r="V142" s="624"/>
      <c r="W142" s="624"/>
      <c r="X142" s="624"/>
      <c r="Y142" s="636"/>
    </row>
    <row r="143" spans="1:25" x14ac:dyDescent="0.25">
      <c r="A143" s="606">
        <f t="shared" ref="A143:A206" si="11">A142+1</f>
        <v>135</v>
      </c>
      <c r="B143" s="617">
        <f t="shared" si="8"/>
        <v>32285.75</v>
      </c>
      <c r="C143" s="617" t="s">
        <v>106</v>
      </c>
      <c r="D143" s="617">
        <f t="shared" si="9"/>
        <v>33097.75</v>
      </c>
      <c r="E143" s="619">
        <f>E141+1</f>
        <v>68</v>
      </c>
      <c r="F143" s="617">
        <f>32599-787.5+7*E143</f>
        <v>32287.5</v>
      </c>
      <c r="G143" s="620" t="s">
        <v>106</v>
      </c>
      <c r="H143" s="617">
        <f t="shared" si="10"/>
        <v>33099.5</v>
      </c>
      <c r="I143" s="619"/>
      <c r="J143" s="618"/>
      <c r="K143" s="620"/>
      <c r="L143" s="621"/>
      <c r="M143" s="619"/>
      <c r="N143" s="618"/>
      <c r="O143" s="618"/>
      <c r="P143" s="622"/>
      <c r="Q143" s="663"/>
      <c r="R143" s="624"/>
      <c r="S143" s="624"/>
      <c r="T143" s="622"/>
      <c r="U143" s="619"/>
      <c r="V143" s="624"/>
      <c r="W143" s="624"/>
      <c r="X143" s="624"/>
      <c r="Y143" s="636"/>
    </row>
    <row r="144" spans="1:25" x14ac:dyDescent="0.25">
      <c r="A144" s="606">
        <f t="shared" si="11"/>
        <v>136</v>
      </c>
      <c r="B144" s="617">
        <f t="shared" si="8"/>
        <v>32289.25</v>
      </c>
      <c r="C144" s="617" t="s">
        <v>106</v>
      </c>
      <c r="D144" s="617">
        <f t="shared" si="9"/>
        <v>33101.25</v>
      </c>
      <c r="E144" s="619"/>
      <c r="F144" s="618"/>
      <c r="G144" s="620"/>
      <c r="H144" s="617"/>
      <c r="I144" s="619"/>
      <c r="J144" s="618"/>
      <c r="K144" s="618"/>
      <c r="L144" s="622"/>
      <c r="M144" s="619"/>
      <c r="N144" s="618"/>
      <c r="O144" s="618"/>
      <c r="P144" s="622"/>
      <c r="Q144" s="663">
        <f>Q128+1</f>
        <v>8</v>
      </c>
      <c r="R144" s="617">
        <f>32599-756+56*Q144</f>
        <v>32291</v>
      </c>
      <c r="S144" s="620" t="s">
        <v>106</v>
      </c>
      <c r="T144" s="617">
        <f>32599+56+56*Q144</f>
        <v>33103</v>
      </c>
      <c r="U144" s="619"/>
      <c r="V144" s="624"/>
      <c r="W144" s="624"/>
      <c r="X144" s="624"/>
      <c r="Y144" s="636"/>
    </row>
    <row r="145" spans="1:25" x14ac:dyDescent="0.25">
      <c r="A145" s="606">
        <f t="shared" si="11"/>
        <v>137</v>
      </c>
      <c r="B145" s="617">
        <f t="shared" si="8"/>
        <v>32292.75</v>
      </c>
      <c r="C145" s="617" t="s">
        <v>106</v>
      </c>
      <c r="D145" s="617">
        <f t="shared" si="9"/>
        <v>33104.75</v>
      </c>
      <c r="E145" s="619">
        <f>E143+1</f>
        <v>69</v>
      </c>
      <c r="F145" s="617">
        <f>32599-787.5+7*E145</f>
        <v>32294.5</v>
      </c>
      <c r="G145" s="620" t="s">
        <v>106</v>
      </c>
      <c r="H145" s="617">
        <f t="shared" si="10"/>
        <v>33106.5</v>
      </c>
      <c r="I145" s="619"/>
      <c r="J145" s="618"/>
      <c r="K145" s="618"/>
      <c r="L145" s="622"/>
      <c r="M145" s="619"/>
      <c r="N145" s="618"/>
      <c r="O145" s="618"/>
      <c r="P145" s="622"/>
      <c r="Q145" s="663"/>
      <c r="R145" s="624"/>
      <c r="S145" s="624"/>
      <c r="T145" s="622"/>
      <c r="U145" s="619"/>
      <c r="V145" s="624"/>
      <c r="W145" s="624"/>
      <c r="X145" s="624"/>
      <c r="Y145" s="636"/>
    </row>
    <row r="146" spans="1:25" x14ac:dyDescent="0.25">
      <c r="A146" s="606">
        <f t="shared" si="11"/>
        <v>138</v>
      </c>
      <c r="B146" s="617">
        <f t="shared" si="8"/>
        <v>32296.25</v>
      </c>
      <c r="C146" s="617" t="s">
        <v>106</v>
      </c>
      <c r="D146" s="617">
        <f t="shared" si="9"/>
        <v>33108.25</v>
      </c>
      <c r="E146" s="619"/>
      <c r="F146" s="618"/>
      <c r="G146" s="620"/>
      <c r="H146" s="617"/>
      <c r="I146" s="619">
        <f>I142+1</f>
        <v>35</v>
      </c>
      <c r="J146" s="617">
        <f>32599-791+14*I146</f>
        <v>32298</v>
      </c>
      <c r="K146" s="620" t="s">
        <v>106</v>
      </c>
      <c r="L146" s="617">
        <f>32599+21+14*I146</f>
        <v>33110</v>
      </c>
      <c r="M146" s="619"/>
      <c r="N146" s="618"/>
      <c r="O146" s="618"/>
      <c r="P146" s="622"/>
      <c r="Q146" s="663"/>
      <c r="R146" s="624"/>
      <c r="S146" s="624"/>
      <c r="T146" s="622"/>
      <c r="U146" s="619"/>
      <c r="V146" s="624"/>
      <c r="W146" s="624"/>
      <c r="X146" s="624"/>
      <c r="Y146" s="636"/>
    </row>
    <row r="147" spans="1:25" x14ac:dyDescent="0.25">
      <c r="A147" s="606">
        <f t="shared" si="11"/>
        <v>139</v>
      </c>
      <c r="B147" s="617">
        <f t="shared" si="8"/>
        <v>32299.75</v>
      </c>
      <c r="C147" s="617" t="s">
        <v>106</v>
      </c>
      <c r="D147" s="617">
        <f t="shared" si="9"/>
        <v>33111.75</v>
      </c>
      <c r="E147" s="619">
        <f>E145+1</f>
        <v>70</v>
      </c>
      <c r="F147" s="617">
        <f>32599-787.5+7*E147</f>
        <v>32301.5</v>
      </c>
      <c r="G147" s="620" t="s">
        <v>106</v>
      </c>
      <c r="H147" s="617">
        <f t="shared" si="10"/>
        <v>33113.5</v>
      </c>
      <c r="I147" s="619"/>
      <c r="J147" s="618"/>
      <c r="K147" s="620"/>
      <c r="L147" s="621"/>
      <c r="M147" s="619"/>
      <c r="N147" s="618"/>
      <c r="O147" s="618"/>
      <c r="P147" s="622"/>
      <c r="Q147" s="663"/>
      <c r="R147" s="647"/>
      <c r="S147" s="624"/>
      <c r="T147" s="648"/>
      <c r="U147" s="619"/>
      <c r="V147" s="624"/>
      <c r="W147" s="624"/>
      <c r="X147" s="624"/>
      <c r="Y147" s="636"/>
    </row>
    <row r="148" spans="1:25" x14ac:dyDescent="0.25">
      <c r="A148" s="606">
        <f t="shared" si="11"/>
        <v>140</v>
      </c>
      <c r="B148" s="617">
        <f t="shared" si="8"/>
        <v>32303.25</v>
      </c>
      <c r="C148" s="617" t="s">
        <v>106</v>
      </c>
      <c r="D148" s="617">
        <f t="shared" si="9"/>
        <v>33115.25</v>
      </c>
      <c r="E148" s="619"/>
      <c r="F148" s="618"/>
      <c r="G148" s="620"/>
      <c r="H148" s="617"/>
      <c r="I148" s="619"/>
      <c r="J148" s="618"/>
      <c r="K148" s="618"/>
      <c r="L148" s="622"/>
      <c r="M148" s="619">
        <f>M140+1</f>
        <v>18</v>
      </c>
      <c r="N148" s="617">
        <f>32599-798+28*M148</f>
        <v>32305</v>
      </c>
      <c r="O148" s="620" t="s">
        <v>106</v>
      </c>
      <c r="P148" s="621">
        <f>32599+14+28*M148</f>
        <v>33117</v>
      </c>
      <c r="Q148" s="663"/>
      <c r="R148" s="624"/>
      <c r="S148" s="624"/>
      <c r="T148" s="622"/>
      <c r="U148" s="619"/>
      <c r="V148" s="617"/>
      <c r="W148" s="620"/>
      <c r="X148" s="620"/>
      <c r="Y148" s="636"/>
    </row>
    <row r="149" spans="1:25" x14ac:dyDescent="0.25">
      <c r="A149" s="606">
        <f t="shared" si="11"/>
        <v>141</v>
      </c>
      <c r="B149" s="617">
        <f t="shared" si="8"/>
        <v>32306.75</v>
      </c>
      <c r="C149" s="617" t="s">
        <v>106</v>
      </c>
      <c r="D149" s="617">
        <f t="shared" si="9"/>
        <v>33118.75</v>
      </c>
      <c r="E149" s="619">
        <f>E147+1</f>
        <v>71</v>
      </c>
      <c r="F149" s="617">
        <f>32599-787.5+7*E149</f>
        <v>32308.5</v>
      </c>
      <c r="G149" s="620" t="s">
        <v>106</v>
      </c>
      <c r="H149" s="617">
        <f t="shared" si="10"/>
        <v>33120.5</v>
      </c>
      <c r="I149" s="619"/>
      <c r="J149" s="618"/>
      <c r="K149" s="618"/>
      <c r="L149" s="622"/>
      <c r="M149" s="619"/>
      <c r="N149" s="618"/>
      <c r="O149" s="618"/>
      <c r="P149" s="622"/>
      <c r="Q149" s="663"/>
      <c r="R149" s="624"/>
      <c r="S149" s="624"/>
      <c r="T149" s="622"/>
      <c r="U149" s="619"/>
      <c r="V149" s="624"/>
      <c r="W149" s="624"/>
      <c r="X149" s="624"/>
      <c r="Y149" s="636"/>
    </row>
    <row r="150" spans="1:25" x14ac:dyDescent="0.25">
      <c r="A150" s="606">
        <f t="shared" si="11"/>
        <v>142</v>
      </c>
      <c r="B150" s="617">
        <f t="shared" si="8"/>
        <v>32310.25</v>
      </c>
      <c r="C150" s="617" t="s">
        <v>106</v>
      </c>
      <c r="D150" s="617">
        <f t="shared" si="9"/>
        <v>33122.25</v>
      </c>
      <c r="E150" s="619"/>
      <c r="F150" s="618"/>
      <c r="G150" s="620"/>
      <c r="H150" s="617"/>
      <c r="I150" s="619">
        <f>I146+1</f>
        <v>36</v>
      </c>
      <c r="J150" s="617">
        <f>32599-791+14*I150</f>
        <v>32312</v>
      </c>
      <c r="K150" s="620" t="s">
        <v>106</v>
      </c>
      <c r="L150" s="617">
        <f>32599+21+14*I150</f>
        <v>33124</v>
      </c>
      <c r="M150" s="619"/>
      <c r="N150" s="618"/>
      <c r="O150" s="618"/>
      <c r="P150" s="622"/>
      <c r="Q150" s="663"/>
      <c r="R150" s="647"/>
      <c r="S150" s="647"/>
      <c r="T150" s="648"/>
      <c r="U150" s="619"/>
      <c r="V150" s="624"/>
      <c r="W150" s="624"/>
      <c r="X150" s="624"/>
      <c r="Y150" s="636"/>
    </row>
    <row r="151" spans="1:25" x14ac:dyDescent="0.25">
      <c r="A151" s="606">
        <f t="shared" si="11"/>
        <v>143</v>
      </c>
      <c r="B151" s="617">
        <f t="shared" si="8"/>
        <v>32313.75</v>
      </c>
      <c r="C151" s="617" t="s">
        <v>106</v>
      </c>
      <c r="D151" s="617">
        <f t="shared" si="9"/>
        <v>33125.75</v>
      </c>
      <c r="E151" s="619">
        <f>E149+1</f>
        <v>72</v>
      </c>
      <c r="F151" s="617">
        <f>32599-787.5+7*E151</f>
        <v>32315.5</v>
      </c>
      <c r="G151" s="620" t="s">
        <v>106</v>
      </c>
      <c r="H151" s="617">
        <f t="shared" si="10"/>
        <v>33127.5</v>
      </c>
      <c r="I151" s="619"/>
      <c r="J151" s="618"/>
      <c r="K151" s="620"/>
      <c r="L151" s="621"/>
      <c r="M151" s="619"/>
      <c r="N151" s="618"/>
      <c r="O151" s="618"/>
      <c r="P151" s="622"/>
      <c r="Q151" s="663"/>
      <c r="R151" s="624"/>
      <c r="S151" s="624"/>
      <c r="T151" s="622"/>
      <c r="U151" s="619"/>
      <c r="V151" s="624"/>
      <c r="W151" s="624"/>
      <c r="X151" s="624"/>
      <c r="Y151" s="636"/>
    </row>
    <row r="152" spans="1:25" ht="15.75" thickBot="1" x14ac:dyDescent="0.3">
      <c r="A152" s="664">
        <f t="shared" si="11"/>
        <v>144</v>
      </c>
      <c r="B152" s="665">
        <f t="shared" si="8"/>
        <v>32317.25</v>
      </c>
      <c r="C152" s="665" t="s">
        <v>106</v>
      </c>
      <c r="D152" s="665">
        <f t="shared" si="9"/>
        <v>33129.25</v>
      </c>
      <c r="E152" s="666"/>
      <c r="F152" s="665"/>
      <c r="G152" s="667"/>
      <c r="H152" s="665"/>
      <c r="I152" s="666"/>
      <c r="J152" s="665"/>
      <c r="K152" s="643"/>
      <c r="L152" s="648"/>
      <c r="M152" s="645"/>
      <c r="N152" s="665"/>
      <c r="O152" s="665"/>
      <c r="P152" s="668"/>
      <c r="Q152" s="669"/>
      <c r="R152" s="647"/>
      <c r="S152" s="647"/>
      <c r="T152" s="648"/>
      <c r="U152" s="670"/>
      <c r="V152" s="617"/>
      <c r="W152" s="671"/>
      <c r="X152" s="617"/>
      <c r="Y152" s="677"/>
    </row>
    <row r="153" spans="1:25" ht="15.75" thickTop="1" x14ac:dyDescent="0.25">
      <c r="A153" s="652">
        <f t="shared" si="11"/>
        <v>145</v>
      </c>
      <c r="B153" s="617">
        <f t="shared" si="8"/>
        <v>32320.75</v>
      </c>
      <c r="C153" s="617" t="s">
        <v>106</v>
      </c>
      <c r="D153" s="617">
        <f t="shared" si="9"/>
        <v>33132.75</v>
      </c>
      <c r="E153" s="653">
        <f>E151+1</f>
        <v>73</v>
      </c>
      <c r="F153" s="617">
        <f>32599-787.5+7*E153</f>
        <v>32322.5</v>
      </c>
      <c r="G153" s="654" t="s">
        <v>106</v>
      </c>
      <c r="H153" s="617">
        <f t="shared" si="10"/>
        <v>33134.5</v>
      </c>
      <c r="I153" s="653"/>
      <c r="J153" s="617"/>
      <c r="K153" s="655"/>
      <c r="L153" s="656"/>
      <c r="M153" s="657"/>
      <c r="N153" s="617"/>
      <c r="O153" s="617"/>
      <c r="P153" s="658"/>
      <c r="Q153" s="659"/>
      <c r="R153" s="660"/>
      <c r="S153" s="660"/>
      <c r="T153" s="656"/>
      <c r="U153" s="657"/>
      <c r="V153" s="660"/>
      <c r="W153" s="660"/>
      <c r="X153" s="660"/>
      <c r="Y153" s="678"/>
    </row>
    <row r="154" spans="1:25" x14ac:dyDescent="0.25">
      <c r="A154" s="606">
        <f t="shared" si="11"/>
        <v>146</v>
      </c>
      <c r="B154" s="617">
        <f t="shared" si="8"/>
        <v>32324.25</v>
      </c>
      <c r="C154" s="617" t="s">
        <v>106</v>
      </c>
      <c r="D154" s="617">
        <f t="shared" si="9"/>
        <v>33136.25</v>
      </c>
      <c r="E154" s="619"/>
      <c r="F154" s="618"/>
      <c r="G154" s="620"/>
      <c r="H154" s="617"/>
      <c r="I154" s="619">
        <f>I150+1</f>
        <v>37</v>
      </c>
      <c r="J154" s="617">
        <f>32599-791+14*I154</f>
        <v>32326</v>
      </c>
      <c r="K154" s="620" t="s">
        <v>106</v>
      </c>
      <c r="L154" s="617">
        <f>32599+21+14*I154</f>
        <v>33138</v>
      </c>
      <c r="M154" s="619"/>
      <c r="N154" s="618"/>
      <c r="O154" s="618"/>
      <c r="P154" s="622"/>
      <c r="Q154" s="663"/>
      <c r="R154" s="624"/>
      <c r="S154" s="624"/>
      <c r="T154" s="622"/>
      <c r="U154" s="619"/>
      <c r="V154" s="624"/>
      <c r="W154" s="624"/>
      <c r="X154" s="624"/>
      <c r="Y154" s="636"/>
    </row>
    <row r="155" spans="1:25" x14ac:dyDescent="0.25">
      <c r="A155" s="606">
        <f t="shared" si="11"/>
        <v>147</v>
      </c>
      <c r="B155" s="617">
        <f t="shared" si="8"/>
        <v>32327.75</v>
      </c>
      <c r="C155" s="617" t="s">
        <v>106</v>
      </c>
      <c r="D155" s="617">
        <f t="shared" si="9"/>
        <v>33139.75</v>
      </c>
      <c r="E155" s="619">
        <f>E153+1</f>
        <v>74</v>
      </c>
      <c r="F155" s="617">
        <f>32599-787.5+7*E155</f>
        <v>32329.5</v>
      </c>
      <c r="G155" s="620" t="s">
        <v>106</v>
      </c>
      <c r="H155" s="617">
        <f t="shared" si="10"/>
        <v>33141.5</v>
      </c>
      <c r="I155" s="619"/>
      <c r="J155" s="618"/>
      <c r="K155" s="620"/>
      <c r="L155" s="621"/>
      <c r="M155" s="619"/>
      <c r="N155" s="618"/>
      <c r="O155" s="618"/>
      <c r="P155" s="622"/>
      <c r="Q155" s="663"/>
      <c r="R155" s="624"/>
      <c r="S155" s="624"/>
      <c r="T155" s="622"/>
      <c r="U155" s="619"/>
      <c r="V155" s="624"/>
      <c r="W155" s="624"/>
      <c r="X155" s="624"/>
      <c r="Y155" s="636"/>
    </row>
    <row r="156" spans="1:25" x14ac:dyDescent="0.25">
      <c r="A156" s="606">
        <f t="shared" si="11"/>
        <v>148</v>
      </c>
      <c r="B156" s="617">
        <f t="shared" si="8"/>
        <v>32331.25</v>
      </c>
      <c r="C156" s="617" t="s">
        <v>106</v>
      </c>
      <c r="D156" s="617">
        <f t="shared" si="9"/>
        <v>33143.25</v>
      </c>
      <c r="E156" s="619"/>
      <c r="F156" s="618"/>
      <c r="G156" s="620"/>
      <c r="H156" s="617"/>
      <c r="I156" s="619"/>
      <c r="J156" s="618"/>
      <c r="K156" s="618"/>
      <c r="L156" s="622"/>
      <c r="M156" s="619">
        <f>M148+1</f>
        <v>19</v>
      </c>
      <c r="N156" s="617">
        <f>32599-798+28*M156</f>
        <v>32333</v>
      </c>
      <c r="O156" s="620" t="s">
        <v>106</v>
      </c>
      <c r="P156" s="621">
        <f>32599+14+28*M156</f>
        <v>33145</v>
      </c>
      <c r="Q156" s="663"/>
      <c r="R156" s="618"/>
      <c r="S156" s="620"/>
      <c r="T156" s="621"/>
      <c r="U156" s="619"/>
      <c r="V156" s="618"/>
      <c r="W156" s="620"/>
      <c r="X156" s="620"/>
      <c r="Y156" s="636"/>
    </row>
    <row r="157" spans="1:25" x14ac:dyDescent="0.25">
      <c r="A157" s="606">
        <f t="shared" si="11"/>
        <v>149</v>
      </c>
      <c r="B157" s="617">
        <f t="shared" si="8"/>
        <v>32334.75</v>
      </c>
      <c r="C157" s="617" t="s">
        <v>106</v>
      </c>
      <c r="D157" s="617">
        <f t="shared" si="9"/>
        <v>33146.75</v>
      </c>
      <c r="E157" s="619">
        <f>E155+1</f>
        <v>75</v>
      </c>
      <c r="F157" s="617">
        <f>32599-787.5+7*E157</f>
        <v>32336.5</v>
      </c>
      <c r="G157" s="620" t="s">
        <v>106</v>
      </c>
      <c r="H157" s="617">
        <f t="shared" si="10"/>
        <v>33148.5</v>
      </c>
      <c r="I157" s="619"/>
      <c r="J157" s="618"/>
      <c r="K157" s="618"/>
      <c r="L157" s="622"/>
      <c r="M157" s="619"/>
      <c r="N157" s="618"/>
      <c r="O157" s="618"/>
      <c r="P157" s="622"/>
      <c r="Q157" s="663"/>
      <c r="R157" s="624"/>
      <c r="S157" s="624"/>
      <c r="T157" s="622"/>
      <c r="U157" s="619"/>
      <c r="V157" s="624"/>
      <c r="W157" s="624"/>
      <c r="X157" s="624"/>
      <c r="Y157" s="636"/>
    </row>
    <row r="158" spans="1:25" x14ac:dyDescent="0.25">
      <c r="A158" s="606">
        <f t="shared" si="11"/>
        <v>150</v>
      </c>
      <c r="B158" s="617">
        <f t="shared" si="8"/>
        <v>32338.25</v>
      </c>
      <c r="C158" s="617" t="s">
        <v>106</v>
      </c>
      <c r="D158" s="617">
        <f t="shared" si="9"/>
        <v>33150.25</v>
      </c>
      <c r="E158" s="619"/>
      <c r="F158" s="618"/>
      <c r="G158" s="620"/>
      <c r="H158" s="617"/>
      <c r="I158" s="619">
        <f>I154+1</f>
        <v>38</v>
      </c>
      <c r="J158" s="617">
        <f>32599-791+14*I158</f>
        <v>32340</v>
      </c>
      <c r="K158" s="620" t="s">
        <v>106</v>
      </c>
      <c r="L158" s="617">
        <f>32599+21+14*I158</f>
        <v>33152</v>
      </c>
      <c r="M158" s="619"/>
      <c r="N158" s="618"/>
      <c r="O158" s="618"/>
      <c r="P158" s="622"/>
      <c r="Q158" s="663"/>
      <c r="R158" s="624"/>
      <c r="S158" s="624"/>
      <c r="T158" s="622"/>
      <c r="U158" s="619"/>
      <c r="V158" s="624"/>
      <c r="W158" s="624"/>
      <c r="X158" s="624"/>
      <c r="Y158" s="679"/>
    </row>
    <row r="159" spans="1:25" x14ac:dyDescent="0.25">
      <c r="A159" s="606">
        <f t="shared" si="11"/>
        <v>151</v>
      </c>
      <c r="B159" s="617">
        <f t="shared" si="8"/>
        <v>32341.75</v>
      </c>
      <c r="C159" s="617" t="s">
        <v>106</v>
      </c>
      <c r="D159" s="617">
        <f t="shared" si="9"/>
        <v>33153.75</v>
      </c>
      <c r="E159" s="619">
        <f>E157+1</f>
        <v>76</v>
      </c>
      <c r="F159" s="617">
        <f>32599-787.5+7*E159</f>
        <v>32343.5</v>
      </c>
      <c r="G159" s="620" t="s">
        <v>106</v>
      </c>
      <c r="H159" s="617">
        <f t="shared" si="10"/>
        <v>33155.5</v>
      </c>
      <c r="I159" s="619"/>
      <c r="J159" s="618"/>
      <c r="K159" s="620"/>
      <c r="L159" s="621"/>
      <c r="M159" s="619"/>
      <c r="N159" s="618"/>
      <c r="O159" s="618"/>
      <c r="P159" s="622"/>
      <c r="Q159" s="663"/>
      <c r="R159" s="624"/>
      <c r="S159" s="624"/>
      <c r="T159" s="622"/>
      <c r="U159" s="619"/>
      <c r="V159" s="624"/>
      <c r="W159" s="624"/>
      <c r="X159" s="624"/>
      <c r="Y159" s="679"/>
    </row>
    <row r="160" spans="1:25" x14ac:dyDescent="0.25">
      <c r="A160" s="606">
        <f t="shared" si="11"/>
        <v>152</v>
      </c>
      <c r="B160" s="617">
        <f t="shared" si="8"/>
        <v>32345.25</v>
      </c>
      <c r="C160" s="617" t="s">
        <v>106</v>
      </c>
      <c r="D160" s="617">
        <f t="shared" si="9"/>
        <v>33157.25</v>
      </c>
      <c r="E160" s="619"/>
      <c r="F160" s="618"/>
      <c r="G160" s="620"/>
      <c r="H160" s="617"/>
      <c r="I160" s="619"/>
      <c r="J160" s="618"/>
      <c r="K160" s="618"/>
      <c r="L160" s="622"/>
      <c r="M160" s="619"/>
      <c r="N160" s="618"/>
      <c r="O160" s="618"/>
      <c r="P160" s="622"/>
      <c r="Q160" s="663">
        <f>Q144+1</f>
        <v>9</v>
      </c>
      <c r="R160" s="617">
        <f>32599-756+56*Q160</f>
        <v>32347</v>
      </c>
      <c r="S160" s="620" t="s">
        <v>106</v>
      </c>
      <c r="T160" s="617">
        <f>32599+56+56*Q160</f>
        <v>33159</v>
      </c>
      <c r="U160" s="619"/>
      <c r="V160" s="624"/>
      <c r="W160" s="624"/>
      <c r="X160" s="624"/>
      <c r="Y160" s="680" t="s">
        <v>156</v>
      </c>
    </row>
    <row r="161" spans="1:25" x14ac:dyDescent="0.25">
      <c r="A161" s="606">
        <f t="shared" si="11"/>
        <v>153</v>
      </c>
      <c r="B161" s="617">
        <f t="shared" si="8"/>
        <v>32348.75</v>
      </c>
      <c r="C161" s="617" t="s">
        <v>106</v>
      </c>
      <c r="D161" s="617">
        <f t="shared" si="9"/>
        <v>33160.75</v>
      </c>
      <c r="E161" s="619">
        <f>E159+1</f>
        <v>77</v>
      </c>
      <c r="F161" s="617">
        <f>32599-787.5+7*E161</f>
        <v>32350.5</v>
      </c>
      <c r="G161" s="620" t="s">
        <v>106</v>
      </c>
      <c r="H161" s="617">
        <f t="shared" si="10"/>
        <v>33162.5</v>
      </c>
      <c r="I161" s="619"/>
      <c r="J161" s="618"/>
      <c r="K161" s="618"/>
      <c r="L161" s="622"/>
      <c r="M161" s="619"/>
      <c r="N161" s="618"/>
      <c r="O161" s="618"/>
      <c r="P161" s="622"/>
      <c r="Q161" s="663"/>
      <c r="R161" s="624"/>
      <c r="S161" s="624"/>
      <c r="T161" s="622"/>
      <c r="U161" s="619"/>
      <c r="V161" s="624"/>
      <c r="W161" s="624"/>
      <c r="X161" s="624"/>
      <c r="Y161" s="636" t="s">
        <v>220</v>
      </c>
    </row>
    <row r="162" spans="1:25" x14ac:dyDescent="0.25">
      <c r="A162" s="606">
        <f t="shared" si="11"/>
        <v>154</v>
      </c>
      <c r="B162" s="617">
        <f t="shared" si="8"/>
        <v>32352.25</v>
      </c>
      <c r="C162" s="617" t="s">
        <v>106</v>
      </c>
      <c r="D162" s="617">
        <f t="shared" si="9"/>
        <v>33164.25</v>
      </c>
      <c r="E162" s="619"/>
      <c r="F162" s="618"/>
      <c r="G162" s="620"/>
      <c r="H162" s="617"/>
      <c r="I162" s="619">
        <f>I158+1</f>
        <v>39</v>
      </c>
      <c r="J162" s="617">
        <f>32599-791+14*I162</f>
        <v>32354</v>
      </c>
      <c r="K162" s="620" t="s">
        <v>106</v>
      </c>
      <c r="L162" s="617">
        <f>32599+21+14*I162</f>
        <v>33166</v>
      </c>
      <c r="M162" s="619"/>
      <c r="N162" s="618"/>
      <c r="O162" s="618"/>
      <c r="P162" s="622"/>
      <c r="Q162" s="663"/>
      <c r="R162" s="624"/>
      <c r="S162" s="624"/>
      <c r="T162" s="622"/>
      <c r="U162" s="619"/>
      <c r="V162" s="624"/>
      <c r="W162" s="624"/>
      <c r="X162" s="624"/>
      <c r="Y162" s="636"/>
    </row>
    <row r="163" spans="1:25" x14ac:dyDescent="0.25">
      <c r="A163" s="606">
        <f t="shared" si="11"/>
        <v>155</v>
      </c>
      <c r="B163" s="617">
        <f t="shared" si="8"/>
        <v>32355.75</v>
      </c>
      <c r="C163" s="617" t="s">
        <v>106</v>
      </c>
      <c r="D163" s="617">
        <f t="shared" si="9"/>
        <v>33167.75</v>
      </c>
      <c r="E163" s="619">
        <f>E161+1</f>
        <v>78</v>
      </c>
      <c r="F163" s="617">
        <f>32599-787.5+7*E163</f>
        <v>32357.5</v>
      </c>
      <c r="G163" s="620" t="s">
        <v>106</v>
      </c>
      <c r="H163" s="617">
        <f t="shared" si="10"/>
        <v>33169.5</v>
      </c>
      <c r="I163" s="619"/>
      <c r="J163" s="618"/>
      <c r="K163" s="620"/>
      <c r="L163" s="621"/>
      <c r="M163" s="619"/>
      <c r="N163" s="618"/>
      <c r="O163" s="618"/>
      <c r="P163" s="622"/>
      <c r="Q163" s="663"/>
      <c r="R163" s="647"/>
      <c r="S163" s="624"/>
      <c r="T163" s="648"/>
      <c r="U163" s="619"/>
      <c r="V163" s="624"/>
      <c r="W163" s="624"/>
      <c r="X163" s="624"/>
      <c r="Y163" s="636"/>
    </row>
    <row r="164" spans="1:25" x14ac:dyDescent="0.25">
      <c r="A164" s="606">
        <f t="shared" si="11"/>
        <v>156</v>
      </c>
      <c r="B164" s="617">
        <f t="shared" si="8"/>
        <v>32359.25</v>
      </c>
      <c r="C164" s="617" t="s">
        <v>106</v>
      </c>
      <c r="D164" s="617">
        <f t="shared" si="9"/>
        <v>33171.25</v>
      </c>
      <c r="E164" s="619"/>
      <c r="F164" s="618"/>
      <c r="G164" s="620"/>
      <c r="H164" s="617"/>
      <c r="I164" s="619"/>
      <c r="J164" s="618"/>
      <c r="K164" s="618"/>
      <c r="L164" s="622"/>
      <c r="M164" s="619">
        <f>M156+1</f>
        <v>20</v>
      </c>
      <c r="N164" s="617">
        <f>32599-798+28*M164</f>
        <v>32361</v>
      </c>
      <c r="O164" s="620" t="s">
        <v>106</v>
      </c>
      <c r="P164" s="621">
        <f>32599+14+28*M164</f>
        <v>33173</v>
      </c>
      <c r="Q164" s="663"/>
      <c r="R164" s="624"/>
      <c r="S164" s="624"/>
      <c r="T164" s="622"/>
      <c r="U164" s="619"/>
      <c r="V164" s="624"/>
      <c r="W164" s="624"/>
      <c r="X164" s="624"/>
      <c r="Y164" s="636"/>
    </row>
    <row r="165" spans="1:25" x14ac:dyDescent="0.25">
      <c r="A165" s="606">
        <f t="shared" si="11"/>
        <v>157</v>
      </c>
      <c r="B165" s="617">
        <f t="shared" si="8"/>
        <v>32362.75</v>
      </c>
      <c r="C165" s="617" t="s">
        <v>106</v>
      </c>
      <c r="D165" s="617">
        <f t="shared" si="9"/>
        <v>33174.75</v>
      </c>
      <c r="E165" s="619">
        <f>E163+1</f>
        <v>79</v>
      </c>
      <c r="F165" s="617">
        <f>32599-787.5+7*E165</f>
        <v>32364.5</v>
      </c>
      <c r="G165" s="620" t="s">
        <v>106</v>
      </c>
      <c r="H165" s="617">
        <f t="shared" si="10"/>
        <v>33176.5</v>
      </c>
      <c r="I165" s="619"/>
      <c r="J165" s="618"/>
      <c r="K165" s="618"/>
      <c r="L165" s="622"/>
      <c r="M165" s="619"/>
      <c r="N165" s="618"/>
      <c r="O165" s="618"/>
      <c r="P165" s="622"/>
      <c r="Q165" s="663"/>
      <c r="R165" s="624"/>
      <c r="S165" s="624"/>
      <c r="T165" s="622"/>
      <c r="U165" s="619"/>
      <c r="V165" s="624"/>
      <c r="W165" s="624"/>
      <c r="X165" s="624"/>
      <c r="Y165" s="636"/>
    </row>
    <row r="166" spans="1:25" x14ac:dyDescent="0.25">
      <c r="A166" s="606">
        <f t="shared" si="11"/>
        <v>158</v>
      </c>
      <c r="B166" s="617">
        <f t="shared" si="8"/>
        <v>32366.25</v>
      </c>
      <c r="C166" s="617" t="s">
        <v>106</v>
      </c>
      <c r="D166" s="617">
        <f t="shared" si="9"/>
        <v>33178.25</v>
      </c>
      <c r="E166" s="619"/>
      <c r="F166" s="618"/>
      <c r="G166" s="620"/>
      <c r="H166" s="617"/>
      <c r="I166" s="619">
        <f>I162+1</f>
        <v>40</v>
      </c>
      <c r="J166" s="617">
        <f>32599-791+14*I166</f>
        <v>32368</v>
      </c>
      <c r="K166" s="620" t="s">
        <v>106</v>
      </c>
      <c r="L166" s="617">
        <f>32599+21+14*I166</f>
        <v>33180</v>
      </c>
      <c r="M166" s="619"/>
      <c r="N166" s="618"/>
      <c r="O166" s="618"/>
      <c r="P166" s="622"/>
      <c r="Q166" s="663"/>
      <c r="R166" s="647"/>
      <c r="S166" s="647"/>
      <c r="T166" s="648"/>
      <c r="U166" s="619"/>
      <c r="V166" s="624"/>
      <c r="W166" s="624"/>
      <c r="X166" s="624"/>
      <c r="Y166" s="637"/>
    </row>
    <row r="167" spans="1:25" x14ac:dyDescent="0.25">
      <c r="A167" s="606">
        <f t="shared" si="11"/>
        <v>159</v>
      </c>
      <c r="B167" s="617">
        <f t="shared" si="8"/>
        <v>32369.75</v>
      </c>
      <c r="C167" s="617" t="s">
        <v>106</v>
      </c>
      <c r="D167" s="617">
        <f t="shared" si="9"/>
        <v>33181.75</v>
      </c>
      <c r="E167" s="619">
        <f>E165+1</f>
        <v>80</v>
      </c>
      <c r="F167" s="617">
        <f>32599-787.5+7*E167</f>
        <v>32371.5</v>
      </c>
      <c r="G167" s="620" t="s">
        <v>106</v>
      </c>
      <c r="H167" s="617">
        <f t="shared" si="10"/>
        <v>33183.5</v>
      </c>
      <c r="I167" s="619"/>
      <c r="J167" s="618"/>
      <c r="K167" s="620"/>
      <c r="L167" s="621"/>
      <c r="M167" s="619"/>
      <c r="N167" s="618"/>
      <c r="O167" s="618"/>
      <c r="P167" s="622"/>
      <c r="Q167" s="663"/>
      <c r="R167" s="624"/>
      <c r="S167" s="624"/>
      <c r="T167" s="622"/>
      <c r="U167" s="619"/>
      <c r="V167" s="624"/>
      <c r="W167" s="624"/>
      <c r="X167" s="624"/>
      <c r="Y167" s="636"/>
    </row>
    <row r="168" spans="1:25" ht="15.75" thickBot="1" x14ac:dyDescent="0.3">
      <c r="A168" s="664">
        <f t="shared" si="11"/>
        <v>160</v>
      </c>
      <c r="B168" s="665">
        <f t="shared" si="8"/>
        <v>32373.25</v>
      </c>
      <c r="C168" s="665" t="s">
        <v>106</v>
      </c>
      <c r="D168" s="665">
        <f t="shared" si="9"/>
        <v>33185.25</v>
      </c>
      <c r="E168" s="681"/>
      <c r="F168" s="665"/>
      <c r="G168" s="667"/>
      <c r="H168" s="682"/>
      <c r="I168" s="683"/>
      <c r="J168" s="684"/>
      <c r="K168" s="665"/>
      <c r="L168" s="668"/>
      <c r="M168" s="645"/>
      <c r="N168" s="643"/>
      <c r="O168" s="665"/>
      <c r="P168" s="668"/>
      <c r="Q168" s="669"/>
      <c r="R168" s="647"/>
      <c r="S168" s="647"/>
      <c r="T168" s="648"/>
      <c r="U168" s="645"/>
      <c r="V168" s="647"/>
      <c r="W168" s="647"/>
      <c r="X168" s="647"/>
      <c r="Y168" s="651"/>
    </row>
    <row r="169" spans="1:25" ht="15.75" thickTop="1" x14ac:dyDescent="0.25">
      <c r="A169" s="652">
        <f t="shared" si="11"/>
        <v>161</v>
      </c>
      <c r="B169" s="617">
        <f t="shared" si="8"/>
        <v>32376.75</v>
      </c>
      <c r="C169" s="617" t="s">
        <v>106</v>
      </c>
      <c r="D169" s="617">
        <f t="shared" si="9"/>
        <v>33188.75</v>
      </c>
      <c r="E169" s="685">
        <f>E167+1</f>
        <v>81</v>
      </c>
      <c r="F169" s="617">
        <f>32599-787.5+7*E169</f>
        <v>32378.5</v>
      </c>
      <c r="G169" s="654" t="s">
        <v>106</v>
      </c>
      <c r="H169" s="617">
        <f t="shared" si="10"/>
        <v>33190.5</v>
      </c>
      <c r="I169" s="653"/>
      <c r="J169" s="617"/>
      <c r="K169" s="617"/>
      <c r="L169" s="658"/>
      <c r="M169" s="657"/>
      <c r="N169" s="655"/>
      <c r="O169" s="617"/>
      <c r="P169" s="658"/>
      <c r="Q169" s="659"/>
      <c r="R169" s="660"/>
      <c r="S169" s="660"/>
      <c r="T169" s="656"/>
      <c r="U169" s="657">
        <v>5</v>
      </c>
      <c r="V169" s="660">
        <f>32599-784+112*U169</f>
        <v>32375</v>
      </c>
      <c r="W169" s="660" t="s">
        <v>106</v>
      </c>
      <c r="X169" s="660">
        <f>32599+28+112*U169</f>
        <v>33187</v>
      </c>
      <c r="Y169" s="662"/>
    </row>
    <row r="170" spans="1:25" x14ac:dyDescent="0.25">
      <c r="A170" s="606">
        <f t="shared" si="11"/>
        <v>162</v>
      </c>
      <c r="B170" s="617">
        <f t="shared" si="8"/>
        <v>32380.25</v>
      </c>
      <c r="C170" s="617" t="s">
        <v>106</v>
      </c>
      <c r="D170" s="617">
        <f t="shared" si="9"/>
        <v>33192.25</v>
      </c>
      <c r="E170" s="638"/>
      <c r="F170" s="618"/>
      <c r="G170" s="620"/>
      <c r="H170" s="617"/>
      <c r="I170" s="619">
        <f>I166+1</f>
        <v>41</v>
      </c>
      <c r="J170" s="617">
        <f>32599-791+14*I170</f>
        <v>32382</v>
      </c>
      <c r="K170" s="620" t="s">
        <v>106</v>
      </c>
      <c r="L170" s="617">
        <f>32599+21+14*I170</f>
        <v>33194</v>
      </c>
      <c r="M170" s="619"/>
      <c r="N170" s="618"/>
      <c r="O170" s="618"/>
      <c r="P170" s="622"/>
      <c r="Q170" s="663"/>
      <c r="R170" s="624"/>
      <c r="S170" s="624"/>
      <c r="T170" s="622"/>
      <c r="U170" s="619"/>
      <c r="V170" s="624"/>
      <c r="W170" s="624"/>
      <c r="X170" s="624"/>
      <c r="Y170" s="636"/>
    </row>
    <row r="171" spans="1:25" x14ac:dyDescent="0.25">
      <c r="A171" s="606">
        <f t="shared" si="11"/>
        <v>163</v>
      </c>
      <c r="B171" s="617">
        <f t="shared" si="8"/>
        <v>32383.75</v>
      </c>
      <c r="C171" s="617" t="s">
        <v>106</v>
      </c>
      <c r="D171" s="617">
        <f t="shared" si="9"/>
        <v>33195.75</v>
      </c>
      <c r="E171" s="638">
        <f>E169+1</f>
        <v>82</v>
      </c>
      <c r="F171" s="617">
        <f>32599-787.5+7*E171</f>
        <v>32385.5</v>
      </c>
      <c r="G171" s="620" t="s">
        <v>106</v>
      </c>
      <c r="H171" s="617">
        <f t="shared" si="10"/>
        <v>33197.5</v>
      </c>
      <c r="I171" s="619"/>
      <c r="J171" s="618"/>
      <c r="K171" s="620"/>
      <c r="L171" s="621"/>
      <c r="M171" s="619"/>
      <c r="N171" s="618"/>
      <c r="O171" s="618"/>
      <c r="P171" s="622"/>
      <c r="Q171" s="663"/>
      <c r="R171" s="624"/>
      <c r="S171" s="624"/>
      <c r="T171" s="622"/>
      <c r="U171" s="619"/>
      <c r="V171" s="624"/>
      <c r="W171" s="624"/>
      <c r="X171" s="624"/>
      <c r="Y171" s="636"/>
    </row>
    <row r="172" spans="1:25" x14ac:dyDescent="0.25">
      <c r="A172" s="606">
        <f t="shared" si="11"/>
        <v>164</v>
      </c>
      <c r="B172" s="617">
        <f t="shared" si="8"/>
        <v>32387.25</v>
      </c>
      <c r="C172" s="617" t="s">
        <v>106</v>
      </c>
      <c r="D172" s="617">
        <f t="shared" si="9"/>
        <v>33199.25</v>
      </c>
      <c r="E172" s="638"/>
      <c r="F172" s="618"/>
      <c r="G172" s="620"/>
      <c r="H172" s="617"/>
      <c r="I172" s="619"/>
      <c r="J172" s="618"/>
      <c r="K172" s="618"/>
      <c r="L172" s="622"/>
      <c r="M172" s="619">
        <f>M164+1</f>
        <v>21</v>
      </c>
      <c r="N172" s="617">
        <f>32599-798+28*M172</f>
        <v>32389</v>
      </c>
      <c r="O172" s="620" t="s">
        <v>106</v>
      </c>
      <c r="P172" s="621">
        <f>32599+14+28*M172</f>
        <v>33201</v>
      </c>
      <c r="Q172" s="663"/>
      <c r="R172" s="618"/>
      <c r="S172" s="620"/>
      <c r="T172" s="621"/>
      <c r="U172" s="619"/>
      <c r="V172" s="624"/>
      <c r="W172" s="624"/>
      <c r="X172" s="624"/>
      <c r="Y172" s="636"/>
    </row>
    <row r="173" spans="1:25" x14ac:dyDescent="0.25">
      <c r="A173" s="606">
        <f t="shared" si="11"/>
        <v>165</v>
      </c>
      <c r="B173" s="617">
        <f t="shared" si="8"/>
        <v>32390.75</v>
      </c>
      <c r="C173" s="617" t="s">
        <v>106</v>
      </c>
      <c r="D173" s="617">
        <f t="shared" si="9"/>
        <v>33202.75</v>
      </c>
      <c r="E173" s="638">
        <f>E171+1</f>
        <v>83</v>
      </c>
      <c r="F173" s="617">
        <f>32599-787.5+7*E173</f>
        <v>32392.5</v>
      </c>
      <c r="G173" s="620" t="s">
        <v>106</v>
      </c>
      <c r="H173" s="617">
        <f t="shared" si="10"/>
        <v>33204.5</v>
      </c>
      <c r="I173" s="619"/>
      <c r="J173" s="618"/>
      <c r="K173" s="618"/>
      <c r="L173" s="622"/>
      <c r="M173" s="619"/>
      <c r="N173" s="618"/>
      <c r="O173" s="618"/>
      <c r="P173" s="622"/>
      <c r="Q173" s="663"/>
      <c r="R173" s="624"/>
      <c r="S173" s="624"/>
      <c r="T173" s="622"/>
      <c r="U173" s="619"/>
      <c r="V173" s="624"/>
      <c r="W173" s="624"/>
      <c r="X173" s="624"/>
      <c r="Y173" s="636"/>
    </row>
    <row r="174" spans="1:25" x14ac:dyDescent="0.25">
      <c r="A174" s="606">
        <f t="shared" si="11"/>
        <v>166</v>
      </c>
      <c r="B174" s="617">
        <f t="shared" si="8"/>
        <v>32394.25</v>
      </c>
      <c r="C174" s="617" t="s">
        <v>106</v>
      </c>
      <c r="D174" s="617">
        <f t="shared" si="9"/>
        <v>33206.25</v>
      </c>
      <c r="E174" s="638"/>
      <c r="F174" s="618"/>
      <c r="G174" s="620"/>
      <c r="H174" s="617"/>
      <c r="I174" s="619">
        <f>I170+1</f>
        <v>42</v>
      </c>
      <c r="J174" s="617">
        <f>32599-791+14*I174</f>
        <v>32396</v>
      </c>
      <c r="K174" s="620" t="s">
        <v>106</v>
      </c>
      <c r="L174" s="617">
        <f>32599+21+14*I174</f>
        <v>33208</v>
      </c>
      <c r="M174" s="619"/>
      <c r="N174" s="618"/>
      <c r="O174" s="618"/>
      <c r="P174" s="622"/>
      <c r="Q174" s="663"/>
      <c r="R174" s="624"/>
      <c r="S174" s="624"/>
      <c r="T174" s="622"/>
      <c r="U174" s="619"/>
      <c r="V174" s="624"/>
      <c r="W174" s="624"/>
      <c r="X174" s="624"/>
      <c r="Y174" s="636"/>
    </row>
    <row r="175" spans="1:25" x14ac:dyDescent="0.25">
      <c r="A175" s="606">
        <f t="shared" si="11"/>
        <v>167</v>
      </c>
      <c r="B175" s="617">
        <f t="shared" si="8"/>
        <v>32397.75</v>
      </c>
      <c r="C175" s="617" t="s">
        <v>106</v>
      </c>
      <c r="D175" s="617">
        <f t="shared" si="9"/>
        <v>33209.75</v>
      </c>
      <c r="E175" s="638">
        <f>E173+1</f>
        <v>84</v>
      </c>
      <c r="F175" s="617">
        <f>32599-787.5+7*E175</f>
        <v>32399.5</v>
      </c>
      <c r="G175" s="620" t="s">
        <v>106</v>
      </c>
      <c r="H175" s="617">
        <f t="shared" si="10"/>
        <v>33211.5</v>
      </c>
      <c r="I175" s="619"/>
      <c r="J175" s="618"/>
      <c r="K175" s="620"/>
      <c r="L175" s="621"/>
      <c r="M175" s="619"/>
      <c r="N175" s="618"/>
      <c r="O175" s="618"/>
      <c r="P175" s="622"/>
      <c r="Q175" s="663"/>
      <c r="R175" s="624"/>
      <c r="S175" s="624"/>
      <c r="T175" s="622"/>
      <c r="U175" s="619"/>
      <c r="V175" s="624"/>
      <c r="W175" s="624"/>
      <c r="X175" s="624"/>
      <c r="Y175" s="636"/>
    </row>
    <row r="176" spans="1:25" x14ac:dyDescent="0.25">
      <c r="A176" s="606">
        <f t="shared" si="11"/>
        <v>168</v>
      </c>
      <c r="B176" s="617">
        <f t="shared" si="8"/>
        <v>32401.25</v>
      </c>
      <c r="C176" s="617" t="s">
        <v>106</v>
      </c>
      <c r="D176" s="617">
        <f t="shared" si="9"/>
        <v>33213.25</v>
      </c>
      <c r="E176" s="639"/>
      <c r="F176" s="618"/>
      <c r="G176" s="620"/>
      <c r="H176" s="617"/>
      <c r="I176" s="619"/>
      <c r="J176" s="618"/>
      <c r="K176" s="618"/>
      <c r="L176" s="622"/>
      <c r="M176" s="619"/>
      <c r="N176" s="618"/>
      <c r="O176" s="618"/>
      <c r="P176" s="622"/>
      <c r="Q176" s="663">
        <f>Q160+1</f>
        <v>10</v>
      </c>
      <c r="R176" s="617">
        <f>32599-756+56*Q176</f>
        <v>32403</v>
      </c>
      <c r="S176" s="620" t="s">
        <v>106</v>
      </c>
      <c r="T176" s="617">
        <f>32599+56+56*Q176</f>
        <v>33215</v>
      </c>
      <c r="U176" s="619"/>
      <c r="V176" s="624"/>
      <c r="W176" s="624"/>
      <c r="X176" s="624"/>
      <c r="Y176" s="636"/>
    </row>
    <row r="177" spans="1:25" x14ac:dyDescent="0.25">
      <c r="A177" s="606">
        <f t="shared" si="11"/>
        <v>169</v>
      </c>
      <c r="B177" s="617">
        <f t="shared" si="8"/>
        <v>32404.75</v>
      </c>
      <c r="C177" s="617" t="s">
        <v>106</v>
      </c>
      <c r="D177" s="617">
        <f t="shared" si="9"/>
        <v>33216.75</v>
      </c>
      <c r="E177" s="638">
        <f>E175+1</f>
        <v>85</v>
      </c>
      <c r="F177" s="617">
        <f>32599-787.5+7*E177</f>
        <v>32406.5</v>
      </c>
      <c r="G177" s="620" t="s">
        <v>106</v>
      </c>
      <c r="H177" s="617">
        <f t="shared" si="10"/>
        <v>33218.5</v>
      </c>
      <c r="I177" s="619"/>
      <c r="J177" s="618"/>
      <c r="K177" s="618"/>
      <c r="L177" s="622"/>
      <c r="M177" s="619"/>
      <c r="N177" s="618"/>
      <c r="O177" s="618"/>
      <c r="P177" s="622"/>
      <c r="Q177" s="663"/>
      <c r="R177" s="624"/>
      <c r="S177" s="624"/>
      <c r="T177" s="622"/>
      <c r="U177" s="619"/>
      <c r="V177" s="624"/>
      <c r="W177" s="624"/>
      <c r="X177" s="624"/>
      <c r="Y177" s="636"/>
    </row>
    <row r="178" spans="1:25" x14ac:dyDescent="0.25">
      <c r="A178" s="606">
        <f t="shared" si="11"/>
        <v>170</v>
      </c>
      <c r="B178" s="617">
        <f t="shared" si="8"/>
        <v>32408.25</v>
      </c>
      <c r="C178" s="617" t="s">
        <v>106</v>
      </c>
      <c r="D178" s="617">
        <f t="shared" si="9"/>
        <v>33220.25</v>
      </c>
      <c r="E178" s="638"/>
      <c r="F178" s="618"/>
      <c r="G178" s="620"/>
      <c r="H178" s="617"/>
      <c r="I178" s="619">
        <f>I174+1</f>
        <v>43</v>
      </c>
      <c r="J178" s="617">
        <f>32599-791+14*I178</f>
        <v>32410</v>
      </c>
      <c r="K178" s="620" t="s">
        <v>106</v>
      </c>
      <c r="L178" s="617">
        <f>32599+21+14*I178</f>
        <v>33222</v>
      </c>
      <c r="M178" s="619"/>
      <c r="N178" s="618"/>
      <c r="O178" s="618"/>
      <c r="P178" s="622"/>
      <c r="Q178" s="663"/>
      <c r="R178" s="624"/>
      <c r="S178" s="624"/>
      <c r="T178" s="622"/>
      <c r="U178" s="619"/>
      <c r="V178" s="624"/>
      <c r="W178" s="624"/>
      <c r="X178" s="624"/>
      <c r="Y178" s="636"/>
    </row>
    <row r="179" spans="1:25" x14ac:dyDescent="0.25">
      <c r="A179" s="606">
        <f t="shared" si="11"/>
        <v>171</v>
      </c>
      <c r="B179" s="617">
        <f t="shared" si="8"/>
        <v>32411.75</v>
      </c>
      <c r="C179" s="617" t="s">
        <v>106</v>
      </c>
      <c r="D179" s="617">
        <f t="shared" si="9"/>
        <v>33223.75</v>
      </c>
      <c r="E179" s="638">
        <f>E177+1</f>
        <v>86</v>
      </c>
      <c r="F179" s="617">
        <f>32599-787.5+7*E179</f>
        <v>32413.5</v>
      </c>
      <c r="G179" s="620" t="s">
        <v>106</v>
      </c>
      <c r="H179" s="617">
        <f t="shared" si="10"/>
        <v>33225.5</v>
      </c>
      <c r="I179" s="619"/>
      <c r="J179" s="618"/>
      <c r="K179" s="620"/>
      <c r="L179" s="621"/>
      <c r="M179" s="619"/>
      <c r="N179" s="618"/>
      <c r="O179" s="618"/>
      <c r="P179" s="622"/>
      <c r="Q179" s="663"/>
      <c r="R179" s="647"/>
      <c r="S179" s="624"/>
      <c r="T179" s="648"/>
      <c r="U179" s="619"/>
      <c r="V179" s="624"/>
      <c r="W179" s="624"/>
      <c r="X179" s="624"/>
      <c r="Y179" s="636"/>
    </row>
    <row r="180" spans="1:25" x14ac:dyDescent="0.25">
      <c r="A180" s="606">
        <f t="shared" si="11"/>
        <v>172</v>
      </c>
      <c r="B180" s="617">
        <f t="shared" si="8"/>
        <v>32415.25</v>
      </c>
      <c r="C180" s="617" t="s">
        <v>106</v>
      </c>
      <c r="D180" s="617">
        <f t="shared" si="9"/>
        <v>33227.25</v>
      </c>
      <c r="E180" s="638"/>
      <c r="F180" s="618"/>
      <c r="G180" s="620"/>
      <c r="H180" s="617"/>
      <c r="I180" s="619"/>
      <c r="J180" s="618"/>
      <c r="K180" s="618"/>
      <c r="L180" s="622"/>
      <c r="M180" s="619">
        <f>M172+1</f>
        <v>22</v>
      </c>
      <c r="N180" s="617">
        <f>32599-798+28*M180</f>
        <v>32417</v>
      </c>
      <c r="O180" s="620" t="s">
        <v>106</v>
      </c>
      <c r="P180" s="621">
        <f>32599+14+28*M180</f>
        <v>33229</v>
      </c>
      <c r="Q180" s="663"/>
      <c r="R180" s="624"/>
      <c r="S180" s="624"/>
      <c r="T180" s="622"/>
      <c r="U180" s="619"/>
      <c r="V180" s="624"/>
      <c r="W180" s="624"/>
      <c r="X180" s="624"/>
      <c r="Y180" s="636"/>
    </row>
    <row r="181" spans="1:25" x14ac:dyDescent="0.25">
      <c r="A181" s="606">
        <f t="shared" si="11"/>
        <v>173</v>
      </c>
      <c r="B181" s="617">
        <f t="shared" si="8"/>
        <v>32418.75</v>
      </c>
      <c r="C181" s="617" t="s">
        <v>106</v>
      </c>
      <c r="D181" s="617">
        <f t="shared" si="9"/>
        <v>33230.75</v>
      </c>
      <c r="E181" s="638">
        <f>E179+1</f>
        <v>87</v>
      </c>
      <c r="F181" s="617">
        <f>32599-787.5+7*E181</f>
        <v>32420.5</v>
      </c>
      <c r="G181" s="620" t="s">
        <v>106</v>
      </c>
      <c r="H181" s="617">
        <f t="shared" si="10"/>
        <v>33232.5</v>
      </c>
      <c r="I181" s="619"/>
      <c r="J181" s="618"/>
      <c r="K181" s="618"/>
      <c r="L181" s="622"/>
      <c r="M181" s="619"/>
      <c r="N181" s="618"/>
      <c r="O181" s="618"/>
      <c r="P181" s="622"/>
      <c r="Q181" s="663"/>
      <c r="R181" s="624"/>
      <c r="S181" s="624"/>
      <c r="T181" s="622"/>
      <c r="U181" s="619"/>
      <c r="V181" s="624"/>
      <c r="W181" s="624"/>
      <c r="X181" s="624"/>
      <c r="Y181" s="636"/>
    </row>
    <row r="182" spans="1:25" x14ac:dyDescent="0.25">
      <c r="A182" s="606">
        <f t="shared" si="11"/>
        <v>174</v>
      </c>
      <c r="B182" s="617">
        <f t="shared" si="8"/>
        <v>32422.25</v>
      </c>
      <c r="C182" s="617" t="s">
        <v>106</v>
      </c>
      <c r="D182" s="617">
        <f t="shared" si="9"/>
        <v>33234.25</v>
      </c>
      <c r="E182" s="638"/>
      <c r="F182" s="618"/>
      <c r="G182" s="620"/>
      <c r="H182" s="617"/>
      <c r="I182" s="619">
        <f>I178+1</f>
        <v>44</v>
      </c>
      <c r="J182" s="617">
        <f>32599-791+14*I182</f>
        <v>32424</v>
      </c>
      <c r="K182" s="620" t="s">
        <v>106</v>
      </c>
      <c r="L182" s="617">
        <f>32599+21+14*I182</f>
        <v>33236</v>
      </c>
      <c r="M182" s="619"/>
      <c r="N182" s="618"/>
      <c r="O182" s="618"/>
      <c r="P182" s="622"/>
      <c r="Q182" s="663"/>
      <c r="R182" s="647"/>
      <c r="S182" s="647"/>
      <c r="T182" s="648"/>
      <c r="U182" s="619"/>
      <c r="V182" s="624"/>
      <c r="W182" s="624"/>
      <c r="X182" s="624"/>
      <c r="Y182" s="636"/>
    </row>
    <row r="183" spans="1:25" x14ac:dyDescent="0.25">
      <c r="A183" s="606">
        <f t="shared" si="11"/>
        <v>175</v>
      </c>
      <c r="B183" s="617">
        <f t="shared" si="8"/>
        <v>32425.75</v>
      </c>
      <c r="C183" s="617" t="s">
        <v>106</v>
      </c>
      <c r="D183" s="617">
        <f t="shared" si="9"/>
        <v>33237.75</v>
      </c>
      <c r="E183" s="638">
        <f>E181+1</f>
        <v>88</v>
      </c>
      <c r="F183" s="617">
        <f>32599-787.5+7*E183</f>
        <v>32427.5</v>
      </c>
      <c r="G183" s="620" t="s">
        <v>106</v>
      </c>
      <c r="H183" s="617">
        <f t="shared" si="10"/>
        <v>33239.5</v>
      </c>
      <c r="I183" s="619"/>
      <c r="J183" s="618"/>
      <c r="K183" s="620"/>
      <c r="L183" s="621"/>
      <c r="M183" s="619"/>
      <c r="N183" s="618"/>
      <c r="O183" s="618"/>
      <c r="P183" s="622"/>
      <c r="Q183" s="663"/>
      <c r="R183" s="624"/>
      <c r="S183" s="624"/>
      <c r="T183" s="622"/>
      <c r="U183" s="619"/>
      <c r="V183" s="624"/>
      <c r="W183" s="624"/>
      <c r="X183" s="624"/>
      <c r="Y183" s="636"/>
    </row>
    <row r="184" spans="1:25" ht="15.75" thickBot="1" x14ac:dyDescent="0.3">
      <c r="A184" s="664">
        <f t="shared" si="11"/>
        <v>176</v>
      </c>
      <c r="B184" s="665">
        <f t="shared" si="8"/>
        <v>32429.25</v>
      </c>
      <c r="C184" s="665" t="s">
        <v>106</v>
      </c>
      <c r="D184" s="665">
        <f t="shared" si="9"/>
        <v>33241.25</v>
      </c>
      <c r="E184" s="681"/>
      <c r="F184" s="665"/>
      <c r="G184" s="667"/>
      <c r="H184" s="665"/>
      <c r="I184" s="666"/>
      <c r="J184" s="665"/>
      <c r="K184" s="665"/>
      <c r="L184" s="668"/>
      <c r="M184" s="666"/>
      <c r="N184" s="665"/>
      <c r="O184" s="665"/>
      <c r="P184" s="668"/>
      <c r="Q184" s="669"/>
      <c r="R184" s="647"/>
      <c r="S184" s="647"/>
      <c r="T184" s="648"/>
      <c r="U184" s="619"/>
      <c r="V184" s="617"/>
      <c r="W184" s="624"/>
      <c r="X184" s="617"/>
      <c r="Y184" s="651"/>
    </row>
    <row r="185" spans="1:25" ht="15.75" thickTop="1" x14ac:dyDescent="0.25">
      <c r="A185" s="652">
        <f t="shared" si="11"/>
        <v>177</v>
      </c>
      <c r="B185" s="617">
        <f t="shared" si="8"/>
        <v>32432.75</v>
      </c>
      <c r="C185" s="617" t="s">
        <v>106</v>
      </c>
      <c r="D185" s="617">
        <f t="shared" si="9"/>
        <v>33244.75</v>
      </c>
      <c r="E185" s="685">
        <f>E183+1</f>
        <v>89</v>
      </c>
      <c r="F185" s="617">
        <f>32599-787.5+7*E185</f>
        <v>32434.5</v>
      </c>
      <c r="G185" s="654" t="s">
        <v>106</v>
      </c>
      <c r="H185" s="617">
        <f t="shared" si="10"/>
        <v>33246.5</v>
      </c>
      <c r="I185" s="653"/>
      <c r="J185" s="617"/>
      <c r="K185" s="617"/>
      <c r="L185" s="658"/>
      <c r="M185" s="653"/>
      <c r="N185" s="617"/>
      <c r="O185" s="617"/>
      <c r="P185" s="658"/>
      <c r="Q185" s="659"/>
      <c r="R185" s="660"/>
      <c r="S185" s="660"/>
      <c r="T185" s="656"/>
      <c r="U185" s="657"/>
      <c r="V185" s="660"/>
      <c r="W185" s="660"/>
      <c r="X185" s="660"/>
      <c r="Y185" s="662"/>
    </row>
    <row r="186" spans="1:25" x14ac:dyDescent="0.25">
      <c r="A186" s="606">
        <f t="shared" si="11"/>
        <v>178</v>
      </c>
      <c r="B186" s="617">
        <f t="shared" si="8"/>
        <v>32436.25</v>
      </c>
      <c r="C186" s="617" t="s">
        <v>106</v>
      </c>
      <c r="D186" s="617">
        <f t="shared" si="9"/>
        <v>33248.25</v>
      </c>
      <c r="E186" s="638"/>
      <c r="F186" s="618"/>
      <c r="G186" s="620"/>
      <c r="H186" s="617"/>
      <c r="I186" s="619">
        <f>I182+1</f>
        <v>45</v>
      </c>
      <c r="J186" s="617">
        <f>32599-791+14*I186</f>
        <v>32438</v>
      </c>
      <c r="K186" s="620" t="s">
        <v>106</v>
      </c>
      <c r="L186" s="617">
        <f>32599+21+14*I186</f>
        <v>33250</v>
      </c>
      <c r="M186" s="619"/>
      <c r="N186" s="618"/>
      <c r="O186" s="618"/>
      <c r="P186" s="622"/>
      <c r="Q186" s="663"/>
      <c r="R186" s="624"/>
      <c r="S186" s="624"/>
      <c r="T186" s="622"/>
      <c r="U186" s="619"/>
      <c r="V186" s="624"/>
      <c r="W186" s="624"/>
      <c r="X186" s="624"/>
      <c r="Y186" s="636"/>
    </row>
    <row r="187" spans="1:25" x14ac:dyDescent="0.25">
      <c r="A187" s="606">
        <f t="shared" si="11"/>
        <v>179</v>
      </c>
      <c r="B187" s="617">
        <f t="shared" si="8"/>
        <v>32439.75</v>
      </c>
      <c r="C187" s="617" t="s">
        <v>106</v>
      </c>
      <c r="D187" s="617">
        <f t="shared" si="9"/>
        <v>33251.75</v>
      </c>
      <c r="E187" s="638">
        <f>E185+1</f>
        <v>90</v>
      </c>
      <c r="F187" s="617">
        <f>32599-787.5+7*E187</f>
        <v>32441.5</v>
      </c>
      <c r="G187" s="620" t="s">
        <v>106</v>
      </c>
      <c r="H187" s="617">
        <f t="shared" si="10"/>
        <v>33253.5</v>
      </c>
      <c r="I187" s="619"/>
      <c r="J187" s="618"/>
      <c r="K187" s="620"/>
      <c r="L187" s="621"/>
      <c r="M187" s="619"/>
      <c r="N187" s="618"/>
      <c r="O187" s="618"/>
      <c r="P187" s="622"/>
      <c r="Q187" s="663"/>
      <c r="R187" s="624"/>
      <c r="S187" s="624"/>
      <c r="T187" s="622"/>
      <c r="U187" s="619"/>
      <c r="V187" s="624"/>
      <c r="W187" s="624"/>
      <c r="X187" s="624"/>
      <c r="Y187" s="636"/>
    </row>
    <row r="188" spans="1:25" x14ac:dyDescent="0.25">
      <c r="A188" s="606">
        <f t="shared" si="11"/>
        <v>180</v>
      </c>
      <c r="B188" s="617">
        <f t="shared" si="8"/>
        <v>32443.25</v>
      </c>
      <c r="C188" s="617" t="s">
        <v>106</v>
      </c>
      <c r="D188" s="617">
        <f t="shared" si="9"/>
        <v>33255.25</v>
      </c>
      <c r="E188" s="638"/>
      <c r="F188" s="618"/>
      <c r="G188" s="620"/>
      <c r="H188" s="617"/>
      <c r="I188" s="619"/>
      <c r="J188" s="618"/>
      <c r="K188" s="618"/>
      <c r="L188" s="622"/>
      <c r="M188" s="619">
        <f>M180+1</f>
        <v>23</v>
      </c>
      <c r="N188" s="617">
        <f>32599-798+28*M188</f>
        <v>32445</v>
      </c>
      <c r="O188" s="620" t="s">
        <v>106</v>
      </c>
      <c r="P188" s="621">
        <f>32599+14+28*M188</f>
        <v>33257</v>
      </c>
      <c r="Q188" s="663"/>
      <c r="R188" s="618"/>
      <c r="S188" s="620"/>
      <c r="T188" s="621"/>
      <c r="U188" s="619"/>
      <c r="V188" s="617"/>
      <c r="W188" s="620"/>
      <c r="X188" s="620"/>
      <c r="Y188" s="636"/>
    </row>
    <row r="189" spans="1:25" x14ac:dyDescent="0.25">
      <c r="A189" s="606">
        <f t="shared" si="11"/>
        <v>181</v>
      </c>
      <c r="B189" s="617">
        <f t="shared" si="8"/>
        <v>32446.75</v>
      </c>
      <c r="C189" s="617" t="s">
        <v>106</v>
      </c>
      <c r="D189" s="617">
        <f t="shared" si="9"/>
        <v>33258.75</v>
      </c>
      <c r="E189" s="638">
        <f>E187+1</f>
        <v>91</v>
      </c>
      <c r="F189" s="617">
        <f>32599-787.5+7*E189</f>
        <v>32448.5</v>
      </c>
      <c r="G189" s="620" t="s">
        <v>106</v>
      </c>
      <c r="H189" s="617">
        <f t="shared" si="10"/>
        <v>33260.5</v>
      </c>
      <c r="I189" s="619"/>
      <c r="J189" s="618"/>
      <c r="K189" s="618"/>
      <c r="L189" s="622"/>
      <c r="M189" s="619"/>
      <c r="N189" s="618"/>
      <c r="O189" s="618"/>
      <c r="P189" s="622"/>
      <c r="Q189" s="663"/>
      <c r="R189" s="624"/>
      <c r="S189" s="624"/>
      <c r="T189" s="622"/>
      <c r="U189" s="619"/>
      <c r="V189" s="624"/>
      <c r="W189" s="624"/>
      <c r="X189" s="624"/>
      <c r="Y189" s="636"/>
    </row>
    <row r="190" spans="1:25" x14ac:dyDescent="0.25">
      <c r="A190" s="606">
        <f t="shared" si="11"/>
        <v>182</v>
      </c>
      <c r="B190" s="617">
        <f t="shared" si="8"/>
        <v>32450.25</v>
      </c>
      <c r="C190" s="617" t="s">
        <v>106</v>
      </c>
      <c r="D190" s="617">
        <f t="shared" si="9"/>
        <v>33262.25</v>
      </c>
      <c r="E190" s="638"/>
      <c r="F190" s="618"/>
      <c r="G190" s="620"/>
      <c r="H190" s="617"/>
      <c r="I190" s="619">
        <f>I186+1</f>
        <v>46</v>
      </c>
      <c r="J190" s="617">
        <f>32599-791+14*I190</f>
        <v>32452</v>
      </c>
      <c r="K190" s="620" t="s">
        <v>106</v>
      </c>
      <c r="L190" s="617">
        <f>32599+21+14*I190</f>
        <v>33264</v>
      </c>
      <c r="M190" s="619"/>
      <c r="N190" s="618"/>
      <c r="O190" s="618"/>
      <c r="P190" s="622"/>
      <c r="Q190" s="663"/>
      <c r="R190" s="624"/>
      <c r="S190" s="624"/>
      <c r="T190" s="622"/>
      <c r="U190" s="619"/>
      <c r="V190" s="624"/>
      <c r="W190" s="624"/>
      <c r="X190" s="624"/>
      <c r="Y190" s="636"/>
    </row>
    <row r="191" spans="1:25" x14ac:dyDescent="0.25">
      <c r="A191" s="606">
        <f t="shared" si="11"/>
        <v>183</v>
      </c>
      <c r="B191" s="617">
        <f t="shared" si="8"/>
        <v>32453.75</v>
      </c>
      <c r="C191" s="617" t="s">
        <v>106</v>
      </c>
      <c r="D191" s="617">
        <f t="shared" si="9"/>
        <v>33265.75</v>
      </c>
      <c r="E191" s="638">
        <f>E189+1</f>
        <v>92</v>
      </c>
      <c r="F191" s="617">
        <f>32599-787.5+7*E191</f>
        <v>32455.5</v>
      </c>
      <c r="G191" s="620" t="s">
        <v>106</v>
      </c>
      <c r="H191" s="617">
        <f t="shared" si="10"/>
        <v>33267.5</v>
      </c>
      <c r="I191" s="619"/>
      <c r="J191" s="618"/>
      <c r="K191" s="620"/>
      <c r="L191" s="621"/>
      <c r="M191" s="619"/>
      <c r="N191" s="618"/>
      <c r="O191" s="618"/>
      <c r="P191" s="622"/>
      <c r="Q191" s="663"/>
      <c r="R191" s="624"/>
      <c r="S191" s="624"/>
      <c r="T191" s="622"/>
      <c r="U191" s="619"/>
      <c r="V191" s="624"/>
      <c r="W191" s="624"/>
      <c r="X191" s="624"/>
      <c r="Y191" s="636"/>
    </row>
    <row r="192" spans="1:25" x14ac:dyDescent="0.25">
      <c r="A192" s="606">
        <f t="shared" si="11"/>
        <v>184</v>
      </c>
      <c r="B192" s="617">
        <f t="shared" si="8"/>
        <v>32457.25</v>
      </c>
      <c r="C192" s="617" t="s">
        <v>106</v>
      </c>
      <c r="D192" s="617">
        <f t="shared" si="9"/>
        <v>33269.25</v>
      </c>
      <c r="E192" s="638"/>
      <c r="F192" s="618"/>
      <c r="G192" s="620"/>
      <c r="H192" s="617"/>
      <c r="I192" s="619"/>
      <c r="J192" s="618"/>
      <c r="K192" s="618"/>
      <c r="L192" s="622"/>
      <c r="M192" s="619"/>
      <c r="N192" s="618"/>
      <c r="O192" s="618"/>
      <c r="P192" s="622"/>
      <c r="Q192" s="663">
        <f>Q176+1</f>
        <v>11</v>
      </c>
      <c r="R192" s="617">
        <f>32599-756+56*Q192</f>
        <v>32459</v>
      </c>
      <c r="S192" s="620" t="s">
        <v>106</v>
      </c>
      <c r="T192" s="617">
        <f>32599+56+56*Q192</f>
        <v>33271</v>
      </c>
      <c r="U192" s="619"/>
      <c r="V192" s="624"/>
      <c r="W192" s="624"/>
      <c r="X192" s="624"/>
      <c r="Y192" s="636"/>
    </row>
    <row r="193" spans="1:25" x14ac:dyDescent="0.25">
      <c r="A193" s="606">
        <f t="shared" si="11"/>
        <v>185</v>
      </c>
      <c r="B193" s="617">
        <f t="shared" si="8"/>
        <v>32460.75</v>
      </c>
      <c r="C193" s="617" t="s">
        <v>106</v>
      </c>
      <c r="D193" s="617">
        <f t="shared" si="9"/>
        <v>33272.75</v>
      </c>
      <c r="E193" s="638">
        <f>E191+1</f>
        <v>93</v>
      </c>
      <c r="F193" s="617">
        <f>32599-787.5+7*E193</f>
        <v>32462.5</v>
      </c>
      <c r="G193" s="620" t="s">
        <v>106</v>
      </c>
      <c r="H193" s="617">
        <f t="shared" si="10"/>
        <v>33274.5</v>
      </c>
      <c r="I193" s="619"/>
      <c r="J193" s="618"/>
      <c r="K193" s="618"/>
      <c r="L193" s="622"/>
      <c r="M193" s="619"/>
      <c r="N193" s="618"/>
      <c r="O193" s="618"/>
      <c r="P193" s="622"/>
      <c r="Q193" s="663"/>
      <c r="R193" s="624"/>
      <c r="S193" s="624"/>
      <c r="T193" s="622"/>
      <c r="U193" s="619"/>
      <c r="V193" s="624"/>
      <c r="W193" s="624"/>
      <c r="X193" s="624"/>
      <c r="Y193" s="636"/>
    </row>
    <row r="194" spans="1:25" x14ac:dyDescent="0.25">
      <c r="A194" s="606">
        <f t="shared" si="11"/>
        <v>186</v>
      </c>
      <c r="B194" s="617">
        <f t="shared" si="8"/>
        <v>32464.25</v>
      </c>
      <c r="C194" s="617" t="s">
        <v>106</v>
      </c>
      <c r="D194" s="617">
        <f t="shared" si="9"/>
        <v>33276.25</v>
      </c>
      <c r="E194" s="638"/>
      <c r="F194" s="618"/>
      <c r="G194" s="620"/>
      <c r="H194" s="617"/>
      <c r="I194" s="619">
        <f>I190+1</f>
        <v>47</v>
      </c>
      <c r="J194" s="617">
        <f>32599-791+14*I194</f>
        <v>32466</v>
      </c>
      <c r="K194" s="620" t="s">
        <v>106</v>
      </c>
      <c r="L194" s="617">
        <f>32599+21+14*I194</f>
        <v>33278</v>
      </c>
      <c r="M194" s="619"/>
      <c r="N194" s="618"/>
      <c r="O194" s="618"/>
      <c r="P194" s="622"/>
      <c r="Q194" s="663"/>
      <c r="R194" s="624"/>
      <c r="S194" s="624"/>
      <c r="T194" s="622"/>
      <c r="U194" s="619"/>
      <c r="V194" s="624"/>
      <c r="W194" s="624"/>
      <c r="X194" s="624"/>
      <c r="Y194" s="636"/>
    </row>
    <row r="195" spans="1:25" x14ac:dyDescent="0.25">
      <c r="A195" s="606">
        <f t="shared" si="11"/>
        <v>187</v>
      </c>
      <c r="B195" s="617">
        <f t="shared" si="8"/>
        <v>32467.75</v>
      </c>
      <c r="C195" s="617" t="s">
        <v>106</v>
      </c>
      <c r="D195" s="617">
        <f t="shared" si="9"/>
        <v>33279.75</v>
      </c>
      <c r="E195" s="638">
        <f>E193+1</f>
        <v>94</v>
      </c>
      <c r="F195" s="617">
        <f>32599-787.5+7*E195</f>
        <v>32469.5</v>
      </c>
      <c r="G195" s="620" t="s">
        <v>106</v>
      </c>
      <c r="H195" s="617">
        <f t="shared" si="10"/>
        <v>33281.5</v>
      </c>
      <c r="I195" s="619"/>
      <c r="J195" s="618"/>
      <c r="K195" s="620"/>
      <c r="L195" s="621"/>
      <c r="M195" s="619"/>
      <c r="N195" s="618"/>
      <c r="O195" s="618"/>
      <c r="P195" s="622"/>
      <c r="Q195" s="663"/>
      <c r="R195" s="647"/>
      <c r="S195" s="624"/>
      <c r="T195" s="648"/>
      <c r="U195" s="619"/>
      <c r="V195" s="624"/>
      <c r="W195" s="624"/>
      <c r="X195" s="624"/>
      <c r="Y195" s="636"/>
    </row>
    <row r="196" spans="1:25" x14ac:dyDescent="0.25">
      <c r="A196" s="606">
        <f t="shared" si="11"/>
        <v>188</v>
      </c>
      <c r="B196" s="617">
        <f t="shared" si="8"/>
        <v>32471.25</v>
      </c>
      <c r="C196" s="617" t="s">
        <v>106</v>
      </c>
      <c r="D196" s="617">
        <f t="shared" si="9"/>
        <v>33283.25</v>
      </c>
      <c r="E196" s="638"/>
      <c r="F196" s="618"/>
      <c r="G196" s="620"/>
      <c r="H196" s="617"/>
      <c r="I196" s="619"/>
      <c r="J196" s="618"/>
      <c r="K196" s="618"/>
      <c r="L196" s="622"/>
      <c r="M196" s="619">
        <f>M188+1</f>
        <v>24</v>
      </c>
      <c r="N196" s="617">
        <f>32599-798+28*M196</f>
        <v>32473</v>
      </c>
      <c r="O196" s="620" t="s">
        <v>106</v>
      </c>
      <c r="P196" s="621">
        <f>32599+14+28*M196</f>
        <v>33285</v>
      </c>
      <c r="Q196" s="663"/>
      <c r="R196" s="624"/>
      <c r="S196" s="624"/>
      <c r="T196" s="622"/>
      <c r="U196" s="619"/>
      <c r="V196" s="624"/>
      <c r="W196" s="624"/>
      <c r="X196" s="624"/>
      <c r="Y196" s="636"/>
    </row>
    <row r="197" spans="1:25" x14ac:dyDescent="0.25">
      <c r="A197" s="606">
        <f t="shared" si="11"/>
        <v>189</v>
      </c>
      <c r="B197" s="617">
        <f t="shared" si="8"/>
        <v>32474.75</v>
      </c>
      <c r="C197" s="617" t="s">
        <v>106</v>
      </c>
      <c r="D197" s="617">
        <f t="shared" si="9"/>
        <v>33286.75</v>
      </c>
      <c r="E197" s="638">
        <f>E195+1</f>
        <v>95</v>
      </c>
      <c r="F197" s="617">
        <f>32599-787.5+7*E197</f>
        <v>32476.5</v>
      </c>
      <c r="G197" s="620" t="s">
        <v>106</v>
      </c>
      <c r="H197" s="617">
        <f t="shared" si="10"/>
        <v>33288.5</v>
      </c>
      <c r="I197" s="619"/>
      <c r="J197" s="618"/>
      <c r="K197" s="618"/>
      <c r="L197" s="622"/>
      <c r="M197" s="619"/>
      <c r="N197" s="618"/>
      <c r="O197" s="618"/>
      <c r="P197" s="622"/>
      <c r="Q197" s="663"/>
      <c r="R197" s="624"/>
      <c r="S197" s="624"/>
      <c r="T197" s="622"/>
      <c r="U197" s="619"/>
      <c r="V197" s="624"/>
      <c r="W197" s="624"/>
      <c r="X197" s="624"/>
      <c r="Y197" s="636"/>
    </row>
    <row r="198" spans="1:25" x14ac:dyDescent="0.25">
      <c r="A198" s="606">
        <f t="shared" si="11"/>
        <v>190</v>
      </c>
      <c r="B198" s="617">
        <f t="shared" si="8"/>
        <v>32478.25</v>
      </c>
      <c r="C198" s="617" t="s">
        <v>106</v>
      </c>
      <c r="D198" s="617">
        <f t="shared" si="9"/>
        <v>33290.25</v>
      </c>
      <c r="E198" s="638"/>
      <c r="F198" s="618"/>
      <c r="G198" s="620"/>
      <c r="H198" s="617"/>
      <c r="I198" s="619">
        <f>I194+1</f>
        <v>48</v>
      </c>
      <c r="J198" s="617">
        <f>32599-791+14*I198</f>
        <v>32480</v>
      </c>
      <c r="K198" s="620" t="s">
        <v>106</v>
      </c>
      <c r="L198" s="617">
        <f>32599+21+14*I198</f>
        <v>33292</v>
      </c>
      <c r="M198" s="619"/>
      <c r="N198" s="618"/>
      <c r="O198" s="618"/>
      <c r="P198" s="622"/>
      <c r="Q198" s="663"/>
      <c r="R198" s="647"/>
      <c r="S198" s="647"/>
      <c r="T198" s="648"/>
      <c r="U198" s="619"/>
      <c r="V198" s="624"/>
      <c r="W198" s="624"/>
      <c r="X198" s="624"/>
      <c r="Y198" s="636"/>
    </row>
    <row r="199" spans="1:25" x14ac:dyDescent="0.25">
      <c r="A199" s="606">
        <f t="shared" si="11"/>
        <v>191</v>
      </c>
      <c r="B199" s="617">
        <f t="shared" si="8"/>
        <v>32481.75</v>
      </c>
      <c r="C199" s="617" t="s">
        <v>106</v>
      </c>
      <c r="D199" s="617">
        <f t="shared" si="9"/>
        <v>33293.75</v>
      </c>
      <c r="E199" s="638">
        <f>E197+1</f>
        <v>96</v>
      </c>
      <c r="F199" s="617">
        <f>32599-787.5+7*E199</f>
        <v>32483.5</v>
      </c>
      <c r="G199" s="620" t="s">
        <v>106</v>
      </c>
      <c r="H199" s="617">
        <f t="shared" si="10"/>
        <v>33295.5</v>
      </c>
      <c r="I199" s="619"/>
      <c r="J199" s="618"/>
      <c r="K199" s="620"/>
      <c r="L199" s="621"/>
      <c r="M199" s="619"/>
      <c r="N199" s="618"/>
      <c r="O199" s="618"/>
      <c r="P199" s="622"/>
      <c r="Q199" s="663"/>
      <c r="R199" s="624"/>
      <c r="S199" s="624"/>
      <c r="T199" s="622"/>
      <c r="U199" s="619"/>
      <c r="V199" s="624"/>
      <c r="W199" s="624"/>
      <c r="X199" s="624"/>
      <c r="Y199" s="636"/>
    </row>
    <row r="200" spans="1:25" ht="15.75" thickBot="1" x14ac:dyDescent="0.3">
      <c r="A200" s="664">
        <f t="shared" si="11"/>
        <v>192</v>
      </c>
      <c r="B200" s="665">
        <f t="shared" si="8"/>
        <v>32485.25</v>
      </c>
      <c r="C200" s="665" t="s">
        <v>106</v>
      </c>
      <c r="D200" s="665">
        <f t="shared" si="9"/>
        <v>33297.25</v>
      </c>
      <c r="E200" s="681"/>
      <c r="F200" s="665"/>
      <c r="G200" s="667"/>
      <c r="H200" s="665"/>
      <c r="I200" s="666"/>
      <c r="J200" s="665"/>
      <c r="K200" s="665"/>
      <c r="L200" s="668"/>
      <c r="M200" s="666"/>
      <c r="N200" s="665"/>
      <c r="O200" s="665"/>
      <c r="P200" s="668"/>
      <c r="Q200" s="669"/>
      <c r="R200" s="647"/>
      <c r="S200" s="647"/>
      <c r="T200" s="648"/>
      <c r="U200" s="666"/>
      <c r="V200" s="665"/>
      <c r="W200" s="672"/>
      <c r="X200" s="672"/>
      <c r="Y200" s="686"/>
    </row>
    <row r="201" spans="1:25" ht="15.75" thickTop="1" x14ac:dyDescent="0.25">
      <c r="A201" s="652">
        <f t="shared" si="11"/>
        <v>193</v>
      </c>
      <c r="B201" s="617">
        <f t="shared" si="8"/>
        <v>32488.75</v>
      </c>
      <c r="C201" s="617" t="s">
        <v>106</v>
      </c>
      <c r="D201" s="617">
        <f t="shared" si="9"/>
        <v>33300.75</v>
      </c>
      <c r="E201" s="685">
        <f>E199+1</f>
        <v>97</v>
      </c>
      <c r="F201" s="617">
        <f>32599-787.5+7*E201</f>
        <v>32490.5</v>
      </c>
      <c r="G201" s="654" t="s">
        <v>106</v>
      </c>
      <c r="H201" s="617">
        <f t="shared" si="10"/>
        <v>33302.5</v>
      </c>
      <c r="I201" s="653"/>
      <c r="J201" s="617"/>
      <c r="K201" s="617"/>
      <c r="L201" s="658"/>
      <c r="M201" s="653"/>
      <c r="N201" s="617"/>
      <c r="O201" s="617"/>
      <c r="P201" s="658"/>
      <c r="Q201" s="659"/>
      <c r="R201" s="660"/>
      <c r="S201" s="660"/>
      <c r="T201" s="656"/>
      <c r="U201" s="653">
        <v>6</v>
      </c>
      <c r="V201" s="661">
        <f>32599-784+112*U201</f>
        <v>32487</v>
      </c>
      <c r="W201" s="661" t="s">
        <v>106</v>
      </c>
      <c r="X201" s="661">
        <f>32599+28+112*U201</f>
        <v>33299</v>
      </c>
      <c r="Y201" s="687"/>
    </row>
    <row r="202" spans="1:25" x14ac:dyDescent="0.25">
      <c r="A202" s="606">
        <f t="shared" si="11"/>
        <v>194</v>
      </c>
      <c r="B202" s="617">
        <f t="shared" ref="B202:B224" si="12">32599-785.75+3.5*A202</f>
        <v>32492.25</v>
      </c>
      <c r="C202" s="617" t="s">
        <v>106</v>
      </c>
      <c r="D202" s="617">
        <f t="shared" ref="D202:D224" si="13">32599+26.25+3.5*A202</f>
        <v>33304.25</v>
      </c>
      <c r="E202" s="638"/>
      <c r="F202" s="618"/>
      <c r="G202" s="620"/>
      <c r="H202" s="617"/>
      <c r="I202" s="619">
        <f>I198+1</f>
        <v>49</v>
      </c>
      <c r="J202" s="617">
        <f>32599-791+14*I202</f>
        <v>32494</v>
      </c>
      <c r="K202" s="620" t="s">
        <v>106</v>
      </c>
      <c r="L202" s="617">
        <f>32599+21+14*I202</f>
        <v>33306</v>
      </c>
      <c r="M202" s="619"/>
      <c r="N202" s="618"/>
      <c r="O202" s="618"/>
      <c r="P202" s="622"/>
      <c r="Q202" s="663"/>
      <c r="R202" s="624"/>
      <c r="S202" s="624"/>
      <c r="T202" s="622"/>
      <c r="U202" s="619"/>
      <c r="V202" s="624"/>
      <c r="W202" s="624"/>
      <c r="X202" s="624"/>
      <c r="Y202" s="636"/>
    </row>
    <row r="203" spans="1:25" x14ac:dyDescent="0.25">
      <c r="A203" s="606">
        <f t="shared" si="11"/>
        <v>195</v>
      </c>
      <c r="B203" s="617">
        <f t="shared" si="12"/>
        <v>32495.75</v>
      </c>
      <c r="C203" s="617" t="s">
        <v>106</v>
      </c>
      <c r="D203" s="617">
        <f t="shared" si="13"/>
        <v>33307.75</v>
      </c>
      <c r="E203" s="638">
        <f>E201+1</f>
        <v>98</v>
      </c>
      <c r="F203" s="617">
        <f>32599-787.5+7*E203</f>
        <v>32497.5</v>
      </c>
      <c r="G203" s="620" t="s">
        <v>106</v>
      </c>
      <c r="H203" s="617">
        <f t="shared" ref="H203:H223" si="14">32599+24.5+7*E203</f>
        <v>33309.5</v>
      </c>
      <c r="I203" s="619"/>
      <c r="J203" s="618"/>
      <c r="K203" s="620"/>
      <c r="L203" s="621"/>
      <c r="M203" s="619"/>
      <c r="N203" s="618"/>
      <c r="O203" s="618"/>
      <c r="P203" s="622"/>
      <c r="Q203" s="663"/>
      <c r="R203" s="624"/>
      <c r="S203" s="624"/>
      <c r="T203" s="622"/>
      <c r="U203" s="619"/>
      <c r="V203" s="624"/>
      <c r="W203" s="624"/>
      <c r="X203" s="624"/>
      <c r="Y203" s="636"/>
    </row>
    <row r="204" spans="1:25" x14ac:dyDescent="0.25">
      <c r="A204" s="606">
        <f t="shared" si="11"/>
        <v>196</v>
      </c>
      <c r="B204" s="617">
        <f t="shared" si="12"/>
        <v>32499.25</v>
      </c>
      <c r="C204" s="617" t="s">
        <v>106</v>
      </c>
      <c r="D204" s="617">
        <f t="shared" si="13"/>
        <v>33311.25</v>
      </c>
      <c r="E204" s="638"/>
      <c r="F204" s="618"/>
      <c r="G204" s="620"/>
      <c r="H204" s="617"/>
      <c r="I204" s="619"/>
      <c r="J204" s="618"/>
      <c r="K204" s="618"/>
      <c r="L204" s="622"/>
      <c r="M204" s="619">
        <f>M196+1</f>
        <v>25</v>
      </c>
      <c r="N204" s="617">
        <f>32599-798+28*M204</f>
        <v>32501</v>
      </c>
      <c r="O204" s="620" t="s">
        <v>106</v>
      </c>
      <c r="P204" s="621">
        <f>32599+14+28*M204</f>
        <v>33313</v>
      </c>
      <c r="Q204" s="663"/>
      <c r="R204" s="618"/>
      <c r="S204" s="620"/>
      <c r="T204" s="621"/>
      <c r="U204" s="619"/>
      <c r="V204" s="624"/>
      <c r="W204" s="624"/>
      <c r="X204" s="624"/>
      <c r="Y204" s="636"/>
    </row>
    <row r="205" spans="1:25" x14ac:dyDescent="0.25">
      <c r="A205" s="606">
        <f t="shared" si="11"/>
        <v>197</v>
      </c>
      <c r="B205" s="617">
        <f t="shared" si="12"/>
        <v>32502.75</v>
      </c>
      <c r="C205" s="617" t="s">
        <v>106</v>
      </c>
      <c r="D205" s="617">
        <f t="shared" si="13"/>
        <v>33314.75</v>
      </c>
      <c r="E205" s="638">
        <f>E203+1</f>
        <v>99</v>
      </c>
      <c r="F205" s="617">
        <f>32599-787.5+7*E205</f>
        <v>32504.5</v>
      </c>
      <c r="G205" s="620" t="s">
        <v>106</v>
      </c>
      <c r="H205" s="617">
        <f t="shared" si="14"/>
        <v>33316.5</v>
      </c>
      <c r="I205" s="619"/>
      <c r="J205" s="618"/>
      <c r="K205" s="618"/>
      <c r="L205" s="622"/>
      <c r="M205" s="619"/>
      <c r="N205" s="618"/>
      <c r="O205" s="618"/>
      <c r="P205" s="622"/>
      <c r="Q205" s="663"/>
      <c r="R205" s="624"/>
      <c r="S205" s="624"/>
      <c r="T205" s="622"/>
      <c r="U205" s="619"/>
      <c r="V205" s="624"/>
      <c r="W205" s="624"/>
      <c r="X205" s="624"/>
      <c r="Y205" s="636"/>
    </row>
    <row r="206" spans="1:25" x14ac:dyDescent="0.25">
      <c r="A206" s="606">
        <f t="shared" si="11"/>
        <v>198</v>
      </c>
      <c r="B206" s="617">
        <f t="shared" si="12"/>
        <v>32506.25</v>
      </c>
      <c r="C206" s="617" t="s">
        <v>106</v>
      </c>
      <c r="D206" s="617">
        <f t="shared" si="13"/>
        <v>33318.25</v>
      </c>
      <c r="E206" s="638"/>
      <c r="F206" s="618"/>
      <c r="G206" s="620"/>
      <c r="H206" s="617"/>
      <c r="I206" s="619">
        <f>I202+1</f>
        <v>50</v>
      </c>
      <c r="J206" s="617">
        <f>32599-791+14*I206</f>
        <v>32508</v>
      </c>
      <c r="K206" s="620" t="s">
        <v>106</v>
      </c>
      <c r="L206" s="617">
        <f>32599+21+14*I206</f>
        <v>33320</v>
      </c>
      <c r="M206" s="619"/>
      <c r="N206" s="618"/>
      <c r="O206" s="618"/>
      <c r="P206" s="622"/>
      <c r="Q206" s="663"/>
      <c r="R206" s="624"/>
      <c r="S206" s="624"/>
      <c r="T206" s="622"/>
      <c r="U206" s="619"/>
      <c r="V206" s="624"/>
      <c r="W206" s="624"/>
      <c r="X206" s="624"/>
      <c r="Y206" s="636"/>
    </row>
    <row r="207" spans="1:25" x14ac:dyDescent="0.25">
      <c r="A207" s="606">
        <f t="shared" ref="A207:A224" si="15">A206+1</f>
        <v>199</v>
      </c>
      <c r="B207" s="617">
        <f t="shared" si="12"/>
        <v>32509.75</v>
      </c>
      <c r="C207" s="617" t="s">
        <v>106</v>
      </c>
      <c r="D207" s="617">
        <f t="shared" si="13"/>
        <v>33321.75</v>
      </c>
      <c r="E207" s="638">
        <f>E205+1</f>
        <v>100</v>
      </c>
      <c r="F207" s="617">
        <f>32599-787.5+7*E207</f>
        <v>32511.5</v>
      </c>
      <c r="G207" s="620" t="s">
        <v>106</v>
      </c>
      <c r="H207" s="617">
        <f t="shared" si="14"/>
        <v>33323.5</v>
      </c>
      <c r="I207" s="619"/>
      <c r="J207" s="618"/>
      <c r="K207" s="620"/>
      <c r="L207" s="621"/>
      <c r="M207" s="619"/>
      <c r="N207" s="618"/>
      <c r="O207" s="618"/>
      <c r="P207" s="622"/>
      <c r="Q207" s="663"/>
      <c r="R207" s="624"/>
      <c r="S207" s="624"/>
      <c r="T207" s="622"/>
      <c r="U207" s="619"/>
      <c r="V207" s="624"/>
      <c r="W207" s="624"/>
      <c r="X207" s="624"/>
      <c r="Y207" s="636"/>
    </row>
    <row r="208" spans="1:25" x14ac:dyDescent="0.25">
      <c r="A208" s="606">
        <f t="shared" si="15"/>
        <v>200</v>
      </c>
      <c r="B208" s="617">
        <f t="shared" si="12"/>
        <v>32513.25</v>
      </c>
      <c r="C208" s="617" t="s">
        <v>106</v>
      </c>
      <c r="D208" s="617">
        <f t="shared" si="13"/>
        <v>33325.25</v>
      </c>
      <c r="E208" s="638"/>
      <c r="F208" s="618"/>
      <c r="G208" s="620"/>
      <c r="H208" s="617"/>
      <c r="I208" s="619"/>
      <c r="J208" s="618"/>
      <c r="K208" s="618"/>
      <c r="L208" s="622"/>
      <c r="M208" s="619"/>
      <c r="N208" s="618"/>
      <c r="O208" s="618"/>
      <c r="P208" s="622"/>
      <c r="Q208" s="663">
        <f>Q192+1</f>
        <v>12</v>
      </c>
      <c r="R208" s="617">
        <f>32599-756+56*Q208</f>
        <v>32515</v>
      </c>
      <c r="S208" s="620" t="s">
        <v>106</v>
      </c>
      <c r="T208" s="617">
        <f>32599+56+56*Q208</f>
        <v>33327</v>
      </c>
      <c r="U208" s="619"/>
      <c r="V208" s="624"/>
      <c r="W208" s="624"/>
      <c r="X208" s="624"/>
      <c r="Y208" s="636"/>
    </row>
    <row r="209" spans="1:25" x14ac:dyDescent="0.25">
      <c r="A209" s="606">
        <f t="shared" si="15"/>
        <v>201</v>
      </c>
      <c r="B209" s="617">
        <f t="shared" si="12"/>
        <v>32516.75</v>
      </c>
      <c r="C209" s="617" t="s">
        <v>106</v>
      </c>
      <c r="D209" s="617">
        <f t="shared" si="13"/>
        <v>33328.75</v>
      </c>
      <c r="E209" s="638">
        <f>E207+1</f>
        <v>101</v>
      </c>
      <c r="F209" s="617">
        <f>32599-787.5+7*E209</f>
        <v>32518.5</v>
      </c>
      <c r="G209" s="620" t="s">
        <v>106</v>
      </c>
      <c r="H209" s="617">
        <f t="shared" si="14"/>
        <v>33330.5</v>
      </c>
      <c r="I209" s="619"/>
      <c r="J209" s="618"/>
      <c r="K209" s="618"/>
      <c r="L209" s="622"/>
      <c r="M209" s="619"/>
      <c r="N209" s="618"/>
      <c r="O209" s="618"/>
      <c r="P209" s="622"/>
      <c r="Q209" s="663"/>
      <c r="R209" s="624"/>
      <c r="S209" s="624"/>
      <c r="T209" s="622"/>
      <c r="U209" s="619"/>
      <c r="V209" s="624"/>
      <c r="W209" s="624"/>
      <c r="X209" s="624"/>
      <c r="Y209" s="636"/>
    </row>
    <row r="210" spans="1:25" x14ac:dyDescent="0.25">
      <c r="A210" s="606">
        <f t="shared" si="15"/>
        <v>202</v>
      </c>
      <c r="B210" s="617">
        <f t="shared" si="12"/>
        <v>32520.25</v>
      </c>
      <c r="C210" s="617" t="s">
        <v>106</v>
      </c>
      <c r="D210" s="617">
        <f t="shared" si="13"/>
        <v>33332.25</v>
      </c>
      <c r="E210" s="638"/>
      <c r="F210" s="618"/>
      <c r="G210" s="620"/>
      <c r="H210" s="617"/>
      <c r="I210" s="619">
        <f>I206+1</f>
        <v>51</v>
      </c>
      <c r="J210" s="617">
        <f>32599-791+14*I210</f>
        <v>32522</v>
      </c>
      <c r="K210" s="620" t="s">
        <v>106</v>
      </c>
      <c r="L210" s="617">
        <f>32599+21+14*I210</f>
        <v>33334</v>
      </c>
      <c r="M210" s="619"/>
      <c r="N210" s="618"/>
      <c r="O210" s="618"/>
      <c r="P210" s="622"/>
      <c r="Q210" s="663"/>
      <c r="R210" s="624"/>
      <c r="S210" s="624"/>
      <c r="T210" s="622"/>
      <c r="U210" s="619"/>
      <c r="V210" s="624"/>
      <c r="W210" s="624"/>
      <c r="X210" s="624"/>
      <c r="Y210" s="636"/>
    </row>
    <row r="211" spans="1:25" x14ac:dyDescent="0.25">
      <c r="A211" s="606">
        <f t="shared" si="15"/>
        <v>203</v>
      </c>
      <c r="B211" s="617">
        <f t="shared" si="12"/>
        <v>32523.75</v>
      </c>
      <c r="C211" s="617" t="s">
        <v>106</v>
      </c>
      <c r="D211" s="617">
        <f t="shared" si="13"/>
        <v>33335.75</v>
      </c>
      <c r="E211" s="638">
        <f>E209+1</f>
        <v>102</v>
      </c>
      <c r="F211" s="617">
        <f>32599-787.5+7*E211</f>
        <v>32525.5</v>
      </c>
      <c r="G211" s="620" t="s">
        <v>106</v>
      </c>
      <c r="H211" s="617">
        <f t="shared" si="14"/>
        <v>33337.5</v>
      </c>
      <c r="I211" s="619"/>
      <c r="J211" s="618"/>
      <c r="K211" s="620"/>
      <c r="L211" s="621"/>
      <c r="M211" s="619"/>
      <c r="N211" s="618"/>
      <c r="O211" s="618"/>
      <c r="P211" s="622"/>
      <c r="Q211" s="663"/>
      <c r="R211" s="647"/>
      <c r="S211" s="624"/>
      <c r="T211" s="648"/>
      <c r="U211" s="619"/>
      <c r="V211" s="624"/>
      <c r="W211" s="624"/>
      <c r="X211" s="624"/>
      <c r="Y211" s="636"/>
    </row>
    <row r="212" spans="1:25" x14ac:dyDescent="0.25">
      <c r="A212" s="606">
        <f t="shared" si="15"/>
        <v>204</v>
      </c>
      <c r="B212" s="617">
        <f t="shared" si="12"/>
        <v>32527.25</v>
      </c>
      <c r="C212" s="617" t="s">
        <v>106</v>
      </c>
      <c r="D212" s="617">
        <f t="shared" si="13"/>
        <v>33339.25</v>
      </c>
      <c r="E212" s="638"/>
      <c r="F212" s="618"/>
      <c r="G212" s="620"/>
      <c r="H212" s="617"/>
      <c r="I212" s="619"/>
      <c r="J212" s="618"/>
      <c r="K212" s="618"/>
      <c r="L212" s="622"/>
      <c r="M212" s="619">
        <f>M204+1</f>
        <v>26</v>
      </c>
      <c r="N212" s="617">
        <f>32599-798+28*M212</f>
        <v>32529</v>
      </c>
      <c r="O212" s="620" t="s">
        <v>106</v>
      </c>
      <c r="P212" s="621">
        <f>32599+14+28*M212</f>
        <v>33341</v>
      </c>
      <c r="Q212" s="663"/>
      <c r="R212" s="624"/>
      <c r="S212" s="624"/>
      <c r="T212" s="622"/>
      <c r="U212" s="619"/>
      <c r="V212" s="624"/>
      <c r="W212" s="624"/>
      <c r="X212" s="624"/>
      <c r="Y212" s="636"/>
    </row>
    <row r="213" spans="1:25" x14ac:dyDescent="0.25">
      <c r="A213" s="606">
        <f t="shared" si="15"/>
        <v>205</v>
      </c>
      <c r="B213" s="617">
        <f t="shared" si="12"/>
        <v>32530.75</v>
      </c>
      <c r="C213" s="617" t="s">
        <v>106</v>
      </c>
      <c r="D213" s="617">
        <f t="shared" si="13"/>
        <v>33342.75</v>
      </c>
      <c r="E213" s="638">
        <f>E211+1</f>
        <v>103</v>
      </c>
      <c r="F213" s="617">
        <f>32599-787.5+7*E213</f>
        <v>32532.5</v>
      </c>
      <c r="G213" s="620" t="s">
        <v>106</v>
      </c>
      <c r="H213" s="617">
        <f t="shared" si="14"/>
        <v>33344.5</v>
      </c>
      <c r="I213" s="619"/>
      <c r="J213" s="618"/>
      <c r="K213" s="618"/>
      <c r="L213" s="622"/>
      <c r="M213" s="619"/>
      <c r="N213" s="618"/>
      <c r="O213" s="618"/>
      <c r="P213" s="622"/>
      <c r="Q213" s="663"/>
      <c r="R213" s="624"/>
      <c r="S213" s="624"/>
      <c r="T213" s="622"/>
      <c r="U213" s="619"/>
      <c r="V213" s="624"/>
      <c r="W213" s="624"/>
      <c r="X213" s="624"/>
      <c r="Y213" s="636"/>
    </row>
    <row r="214" spans="1:25" x14ac:dyDescent="0.25">
      <c r="A214" s="606">
        <f t="shared" si="15"/>
        <v>206</v>
      </c>
      <c r="B214" s="617">
        <f t="shared" si="12"/>
        <v>32534.25</v>
      </c>
      <c r="C214" s="617" t="s">
        <v>106</v>
      </c>
      <c r="D214" s="617">
        <f t="shared" si="13"/>
        <v>33346.25</v>
      </c>
      <c r="E214" s="638"/>
      <c r="F214" s="618"/>
      <c r="G214" s="620"/>
      <c r="H214" s="617"/>
      <c r="I214" s="619">
        <f>I210+1</f>
        <v>52</v>
      </c>
      <c r="J214" s="617">
        <f>32599-791+14*I214</f>
        <v>32536</v>
      </c>
      <c r="K214" s="620" t="s">
        <v>106</v>
      </c>
      <c r="L214" s="617">
        <f>32599+21+14*I214</f>
        <v>33348</v>
      </c>
      <c r="M214" s="619"/>
      <c r="N214" s="618"/>
      <c r="O214" s="618"/>
      <c r="P214" s="622"/>
      <c r="Q214" s="663"/>
      <c r="R214" s="647"/>
      <c r="S214" s="647"/>
      <c r="T214" s="648"/>
      <c r="U214" s="619"/>
      <c r="V214" s="624"/>
      <c r="W214" s="624"/>
      <c r="X214" s="624"/>
      <c r="Y214" s="636"/>
    </row>
    <row r="215" spans="1:25" x14ac:dyDescent="0.25">
      <c r="A215" s="606">
        <f t="shared" si="15"/>
        <v>207</v>
      </c>
      <c r="B215" s="617">
        <f t="shared" si="12"/>
        <v>32537.75</v>
      </c>
      <c r="C215" s="617" t="s">
        <v>106</v>
      </c>
      <c r="D215" s="617">
        <f t="shared" si="13"/>
        <v>33349.75</v>
      </c>
      <c r="E215" s="638">
        <f>E213+1</f>
        <v>104</v>
      </c>
      <c r="F215" s="617">
        <f>32599-787.5+7*E215</f>
        <v>32539.5</v>
      </c>
      <c r="G215" s="620" t="s">
        <v>106</v>
      </c>
      <c r="H215" s="617">
        <f t="shared" si="14"/>
        <v>33351.5</v>
      </c>
      <c r="I215" s="619"/>
      <c r="J215" s="618"/>
      <c r="K215" s="620"/>
      <c r="L215" s="621"/>
      <c r="M215" s="619"/>
      <c r="N215" s="618"/>
      <c r="O215" s="618"/>
      <c r="P215" s="622"/>
      <c r="Q215" s="663"/>
      <c r="R215" s="624"/>
      <c r="S215" s="624"/>
      <c r="T215" s="622"/>
      <c r="U215" s="619"/>
      <c r="V215" s="624"/>
      <c r="W215" s="624"/>
      <c r="X215" s="624"/>
      <c r="Y215" s="636"/>
    </row>
    <row r="216" spans="1:25" ht="15.75" thickBot="1" x14ac:dyDescent="0.3">
      <c r="A216" s="664">
        <f t="shared" si="15"/>
        <v>208</v>
      </c>
      <c r="B216" s="665">
        <f t="shared" si="12"/>
        <v>32541.25</v>
      </c>
      <c r="C216" s="665" t="s">
        <v>106</v>
      </c>
      <c r="D216" s="665">
        <f t="shared" si="13"/>
        <v>33353.25</v>
      </c>
      <c r="E216" s="665"/>
      <c r="F216" s="665"/>
      <c r="G216" s="665"/>
      <c r="H216" s="665"/>
      <c r="I216" s="665"/>
      <c r="J216" s="665"/>
      <c r="K216" s="643"/>
      <c r="L216" s="648"/>
      <c r="M216" s="645"/>
      <c r="N216" s="643"/>
      <c r="O216" s="665"/>
      <c r="P216" s="668"/>
      <c r="Q216" s="684"/>
      <c r="R216" s="647"/>
      <c r="S216" s="672"/>
      <c r="T216" s="648"/>
      <c r="U216" s="670"/>
      <c r="V216" s="617"/>
      <c r="W216" s="671"/>
      <c r="X216" s="617"/>
      <c r="Y216" s="651"/>
    </row>
    <row r="217" spans="1:25" ht="15.75" thickTop="1" x14ac:dyDescent="0.25">
      <c r="A217" s="652">
        <f t="shared" si="15"/>
        <v>209</v>
      </c>
      <c r="B217" s="617">
        <f t="shared" si="12"/>
        <v>32544.75</v>
      </c>
      <c r="C217" s="617" t="s">
        <v>106</v>
      </c>
      <c r="D217" s="617">
        <f t="shared" si="13"/>
        <v>33356.75</v>
      </c>
      <c r="E217" s="685">
        <f>E215+1</f>
        <v>105</v>
      </c>
      <c r="F217" s="617">
        <f>32599-787.5+7*E217</f>
        <v>32546.5</v>
      </c>
      <c r="G217" s="654" t="s">
        <v>106</v>
      </c>
      <c r="H217" s="617">
        <f t="shared" si="14"/>
        <v>33358.5</v>
      </c>
      <c r="I217" s="653"/>
      <c r="J217" s="617"/>
      <c r="K217" s="655"/>
      <c r="L217" s="656"/>
      <c r="M217" s="657"/>
      <c r="N217" s="655"/>
      <c r="O217" s="617"/>
      <c r="P217" s="658"/>
      <c r="Q217" s="659"/>
      <c r="R217" s="688">
        <v>32543</v>
      </c>
      <c r="S217" s="660"/>
      <c r="T217" s="689">
        <v>33355</v>
      </c>
      <c r="U217" s="657"/>
      <c r="V217" s="660"/>
      <c r="W217" s="660"/>
      <c r="X217" s="660"/>
      <c r="Y217" s="662"/>
    </row>
    <row r="218" spans="1:25" x14ac:dyDescent="0.25">
      <c r="A218" s="606">
        <f t="shared" si="15"/>
        <v>210</v>
      </c>
      <c r="B218" s="617">
        <f t="shared" si="12"/>
        <v>32548.25</v>
      </c>
      <c r="C218" s="617" t="s">
        <v>106</v>
      </c>
      <c r="D218" s="617">
        <f t="shared" si="13"/>
        <v>33360.25</v>
      </c>
      <c r="E218" s="638"/>
      <c r="F218" s="618"/>
      <c r="G218" s="620"/>
      <c r="H218" s="617"/>
      <c r="I218" s="619">
        <f>I214+1</f>
        <v>53</v>
      </c>
      <c r="J218" s="617">
        <f>32599-791+14*I218</f>
        <v>32550</v>
      </c>
      <c r="K218" s="620" t="s">
        <v>106</v>
      </c>
      <c r="L218" s="617">
        <f>32599+21+14*I218</f>
        <v>33362</v>
      </c>
      <c r="M218" s="619"/>
      <c r="N218" s="618"/>
      <c r="O218" s="618"/>
      <c r="P218" s="622"/>
      <c r="Q218" s="663"/>
      <c r="R218" s="624"/>
      <c r="S218" s="624"/>
      <c r="T218" s="622"/>
      <c r="U218" s="619"/>
      <c r="V218" s="624"/>
      <c r="W218" s="624"/>
      <c r="X218" s="624"/>
      <c r="Y218" s="636"/>
    </row>
    <row r="219" spans="1:25" x14ac:dyDescent="0.25">
      <c r="A219" s="606">
        <f t="shared" si="15"/>
        <v>211</v>
      </c>
      <c r="B219" s="617">
        <f t="shared" si="12"/>
        <v>32551.75</v>
      </c>
      <c r="C219" s="617" t="s">
        <v>106</v>
      </c>
      <c r="D219" s="617">
        <f t="shared" si="13"/>
        <v>33363.75</v>
      </c>
      <c r="E219" s="638">
        <f>E217+1</f>
        <v>106</v>
      </c>
      <c r="F219" s="617">
        <f>32599-787.5+7*E219</f>
        <v>32553.5</v>
      </c>
      <c r="G219" s="620" t="s">
        <v>106</v>
      </c>
      <c r="H219" s="617">
        <f t="shared" si="14"/>
        <v>33365.5</v>
      </c>
      <c r="I219" s="619"/>
      <c r="J219" s="618"/>
      <c r="K219" s="620"/>
      <c r="L219" s="621"/>
      <c r="M219" s="619"/>
      <c r="N219" s="618"/>
      <c r="O219" s="618"/>
      <c r="P219" s="621"/>
      <c r="Q219" s="663"/>
      <c r="R219" s="624"/>
      <c r="S219" s="624"/>
      <c r="T219" s="622"/>
      <c r="U219" s="619"/>
      <c r="V219" s="624"/>
      <c r="W219" s="624"/>
      <c r="X219" s="624"/>
      <c r="Y219" s="636"/>
    </row>
    <row r="220" spans="1:25" x14ac:dyDescent="0.25">
      <c r="A220" s="606">
        <f t="shared" si="15"/>
        <v>212</v>
      </c>
      <c r="B220" s="617">
        <f t="shared" si="12"/>
        <v>32555.25</v>
      </c>
      <c r="C220" s="617" t="s">
        <v>106</v>
      </c>
      <c r="D220" s="617">
        <f t="shared" si="13"/>
        <v>33367.25</v>
      </c>
      <c r="E220" s="638"/>
      <c r="F220" s="618"/>
      <c r="G220" s="620"/>
      <c r="H220" s="617"/>
      <c r="I220" s="619"/>
      <c r="J220" s="618"/>
      <c r="K220" s="618"/>
      <c r="L220" s="622"/>
      <c r="M220" s="619">
        <f>M212+1</f>
        <v>27</v>
      </c>
      <c r="N220" s="617">
        <f>32599-798+28*M220</f>
        <v>32557</v>
      </c>
      <c r="O220" s="620" t="s">
        <v>106</v>
      </c>
      <c r="P220" s="621">
        <f>32599+14+28*M220</f>
        <v>33369</v>
      </c>
      <c r="Q220" s="663"/>
      <c r="R220" s="618"/>
      <c r="S220" s="620"/>
      <c r="T220" s="621"/>
      <c r="U220" s="619"/>
      <c r="V220" s="618"/>
      <c r="W220" s="620"/>
      <c r="X220" s="620"/>
      <c r="Y220" s="636"/>
    </row>
    <row r="221" spans="1:25" x14ac:dyDescent="0.25">
      <c r="A221" s="606">
        <f t="shared" si="15"/>
        <v>213</v>
      </c>
      <c r="B221" s="617">
        <f t="shared" si="12"/>
        <v>32558.75</v>
      </c>
      <c r="C221" s="617" t="s">
        <v>106</v>
      </c>
      <c r="D221" s="617">
        <f t="shared" si="13"/>
        <v>33370.75</v>
      </c>
      <c r="E221" s="638">
        <f>E219+1</f>
        <v>107</v>
      </c>
      <c r="F221" s="617">
        <f>32599-787.5+7*E221</f>
        <v>32560.5</v>
      </c>
      <c r="G221" s="620" t="s">
        <v>106</v>
      </c>
      <c r="H221" s="617">
        <f t="shared" si="14"/>
        <v>33372.5</v>
      </c>
      <c r="I221" s="619"/>
      <c r="J221" s="618"/>
      <c r="K221" s="618"/>
      <c r="L221" s="622"/>
      <c r="M221" s="619"/>
      <c r="N221" s="618"/>
      <c r="O221" s="618"/>
      <c r="P221" s="622"/>
      <c r="Q221" s="663"/>
      <c r="R221" s="624"/>
      <c r="S221" s="624"/>
      <c r="T221" s="622"/>
      <c r="U221" s="619"/>
      <c r="V221" s="624"/>
      <c r="W221" s="624"/>
      <c r="X221" s="624"/>
      <c r="Y221" s="636"/>
    </row>
    <row r="222" spans="1:25" x14ac:dyDescent="0.25">
      <c r="A222" s="606">
        <f t="shared" si="15"/>
        <v>214</v>
      </c>
      <c r="B222" s="617">
        <f t="shared" si="12"/>
        <v>32562.25</v>
      </c>
      <c r="C222" s="617" t="s">
        <v>106</v>
      </c>
      <c r="D222" s="617">
        <f t="shared" si="13"/>
        <v>33374.25</v>
      </c>
      <c r="E222" s="638"/>
      <c r="F222" s="618"/>
      <c r="G222" s="620"/>
      <c r="H222" s="617"/>
      <c r="I222" s="619">
        <f>I218+1</f>
        <v>54</v>
      </c>
      <c r="J222" s="617">
        <f>32599-791+14*I222</f>
        <v>32564</v>
      </c>
      <c r="K222" s="620" t="s">
        <v>106</v>
      </c>
      <c r="L222" s="617">
        <f>32599+21+14*I222</f>
        <v>33376</v>
      </c>
      <c r="M222" s="619"/>
      <c r="N222" s="618"/>
      <c r="O222" s="618"/>
      <c r="P222" s="622"/>
      <c r="Q222" s="663"/>
      <c r="R222" s="624"/>
      <c r="S222" s="624"/>
      <c r="T222" s="622"/>
      <c r="U222" s="619"/>
      <c r="V222" s="624"/>
      <c r="W222" s="624"/>
      <c r="X222" s="624"/>
      <c r="Y222" s="690"/>
    </row>
    <row r="223" spans="1:25" x14ac:dyDescent="0.25">
      <c r="A223" s="606">
        <f t="shared" si="15"/>
        <v>215</v>
      </c>
      <c r="B223" s="617">
        <f t="shared" si="12"/>
        <v>32565.75</v>
      </c>
      <c r="C223" s="617" t="s">
        <v>106</v>
      </c>
      <c r="D223" s="617">
        <f t="shared" si="13"/>
        <v>33377.75</v>
      </c>
      <c r="E223" s="638">
        <f>E221+1</f>
        <v>108</v>
      </c>
      <c r="F223" s="617">
        <f>32599-787.5+7*E223</f>
        <v>32567.5</v>
      </c>
      <c r="G223" s="620" t="s">
        <v>106</v>
      </c>
      <c r="H223" s="617">
        <f t="shared" si="14"/>
        <v>33379.5</v>
      </c>
      <c r="I223" s="619"/>
      <c r="J223" s="618"/>
      <c r="K223" s="620"/>
      <c r="L223" s="621"/>
      <c r="M223" s="619"/>
      <c r="N223" s="618"/>
      <c r="O223" s="618"/>
      <c r="P223" s="622"/>
      <c r="Q223" s="663"/>
      <c r="R223" s="624"/>
      <c r="S223" s="624"/>
      <c r="T223" s="622"/>
      <c r="U223" s="619"/>
      <c r="V223" s="624"/>
      <c r="W223" s="624"/>
      <c r="X223" s="624"/>
      <c r="Y223" s="636"/>
    </row>
    <row r="224" spans="1:25" ht="15.75" thickBot="1" x14ac:dyDescent="0.3">
      <c r="A224" s="606">
        <f t="shared" si="15"/>
        <v>216</v>
      </c>
      <c r="B224" s="673">
        <f t="shared" si="12"/>
        <v>32569.25</v>
      </c>
      <c r="C224" s="617" t="s">
        <v>106</v>
      </c>
      <c r="D224" s="617">
        <f t="shared" si="13"/>
        <v>33381.25</v>
      </c>
      <c r="E224" s="638"/>
      <c r="F224" s="643"/>
      <c r="G224" s="620"/>
      <c r="H224" s="617"/>
      <c r="I224" s="619"/>
      <c r="J224" s="643"/>
      <c r="K224" s="618"/>
      <c r="L224" s="622"/>
      <c r="M224" s="619"/>
      <c r="N224" s="643"/>
      <c r="O224" s="618"/>
      <c r="P224" s="622"/>
      <c r="Q224" s="663"/>
      <c r="R224" s="617"/>
      <c r="S224" s="620"/>
      <c r="T224" s="673"/>
      <c r="U224" s="619"/>
      <c r="V224" s="624"/>
      <c r="W224" s="624"/>
      <c r="X224" s="624"/>
      <c r="Y224" s="636"/>
    </row>
    <row r="225" spans="1:25" x14ac:dyDescent="0.25">
      <c r="A225" s="58"/>
      <c r="B225" s="329">
        <v>32571</v>
      </c>
      <c r="D225" s="330">
        <v>33383</v>
      </c>
      <c r="E225" s="178"/>
      <c r="F225" s="329">
        <v>32571</v>
      </c>
      <c r="H225" s="330">
        <v>33383</v>
      </c>
      <c r="I225" s="245"/>
      <c r="J225" s="329">
        <v>32571</v>
      </c>
      <c r="L225" s="330">
        <v>33383</v>
      </c>
      <c r="M225" s="245"/>
      <c r="N225" s="329">
        <v>32571</v>
      </c>
      <c r="P225" s="330">
        <v>33383</v>
      </c>
      <c r="Q225" s="331"/>
      <c r="R225" s="332"/>
      <c r="S225" s="323"/>
      <c r="T225" s="333"/>
      <c r="U225" s="334"/>
      <c r="V225" s="335"/>
      <c r="W225" s="335"/>
      <c r="X225" s="335"/>
      <c r="Y225" s="187"/>
    </row>
    <row r="226" spans="1:25" ht="15.75" thickBot="1" x14ac:dyDescent="0.3">
      <c r="A226" s="279"/>
      <c r="B226" s="336"/>
      <c r="C226" s="337" t="s">
        <v>106</v>
      </c>
      <c r="D226" s="338">
        <v>33400</v>
      </c>
      <c r="E226" s="221"/>
      <c r="F226" s="336"/>
      <c r="G226" s="337" t="s">
        <v>106</v>
      </c>
      <c r="H226" s="338">
        <v>33400</v>
      </c>
      <c r="I226" s="221"/>
      <c r="J226" s="336"/>
      <c r="K226" s="337" t="s">
        <v>106</v>
      </c>
      <c r="L226" s="338">
        <v>33400</v>
      </c>
      <c r="M226" s="339"/>
      <c r="N226" s="336"/>
      <c r="O226" s="337" t="s">
        <v>106</v>
      </c>
      <c r="P226" s="338">
        <v>33400</v>
      </c>
      <c r="Q226" s="340"/>
      <c r="R226" s="336"/>
      <c r="S226" s="337" t="s">
        <v>106</v>
      </c>
      <c r="T226" s="341">
        <v>33400</v>
      </c>
      <c r="U226" s="342"/>
      <c r="V226" s="343"/>
      <c r="W226" s="343"/>
      <c r="X226" s="343"/>
      <c r="Y226" s="344" t="s">
        <v>188</v>
      </c>
    </row>
    <row r="227" spans="1:25" ht="15.75" thickTop="1" x14ac:dyDescent="0.25"/>
  </sheetData>
  <hyperlinks>
    <hyperlink ref="L1" location="'Oversikt'!A1" display="Oversikt" xr:uid="{998BB8A5-3EB6-4322-B4B2-09C0C2FD3A26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6832-C32D-4F45-963C-496EB4C099A8}">
  <sheetPr codeName="Ark17">
    <tabColor theme="9" tint="-0.249977111117893"/>
  </sheetPr>
  <dimension ref="A1:AE331"/>
  <sheetViews>
    <sheetView zoomScale="80" zoomScaleNormal="80" workbookViewId="0">
      <pane ySplit="8" topLeftCell="A9" activePane="bottomLeft" state="frozenSplit"/>
      <selection activeCell="I1" sqref="I1"/>
      <selection pane="bottomLeft" activeCell="K1" sqref="K1"/>
    </sheetView>
  </sheetViews>
  <sheetFormatPr baseColWidth="10" defaultColWidth="11.42578125" defaultRowHeight="15" x14ac:dyDescent="0.25"/>
  <cols>
    <col min="10" max="10" width="19.7109375" customWidth="1"/>
    <col min="31" max="31" width="28.5703125" bestFit="1" customWidth="1"/>
  </cols>
  <sheetData>
    <row r="1" spans="1:31" ht="18.75" x14ac:dyDescent="0.3">
      <c r="A1" s="1" t="s">
        <v>221</v>
      </c>
      <c r="B1" s="2"/>
      <c r="E1" s="3"/>
      <c r="G1" s="4"/>
      <c r="H1" s="5"/>
      <c r="I1" s="4"/>
      <c r="J1" s="2"/>
      <c r="K1" s="800" t="s">
        <v>50</v>
      </c>
      <c r="L1" s="7"/>
      <c r="M1" s="3"/>
      <c r="P1" s="7"/>
      <c r="Q1" s="3"/>
      <c r="R1" s="7"/>
      <c r="S1" s="7"/>
      <c r="T1" s="7"/>
      <c r="U1" s="3"/>
      <c r="V1" s="7"/>
      <c r="W1" s="7"/>
      <c r="X1" s="7"/>
      <c r="Y1" s="7"/>
      <c r="Z1" s="3"/>
      <c r="AA1" s="7"/>
      <c r="AB1" s="7"/>
      <c r="AC1" s="7"/>
      <c r="AD1" s="7"/>
    </row>
    <row r="2" spans="1:31" x14ac:dyDescent="0.25">
      <c r="E2" s="3"/>
      <c r="G2" s="3"/>
      <c r="H2" s="7"/>
      <c r="I2" s="3"/>
      <c r="L2" s="7"/>
      <c r="M2" s="3"/>
      <c r="P2" s="7"/>
      <c r="Q2" s="3"/>
      <c r="R2" s="7"/>
      <c r="S2" s="7"/>
      <c r="T2" s="7"/>
      <c r="U2" s="3"/>
      <c r="V2" s="7"/>
      <c r="W2" s="7"/>
      <c r="X2" s="7"/>
      <c r="Y2" s="7"/>
      <c r="Z2" s="3"/>
      <c r="AA2" s="7"/>
      <c r="AB2" s="7"/>
      <c r="AC2" s="7"/>
      <c r="AD2" s="7"/>
    </row>
    <row r="3" spans="1:31" ht="15.75" x14ac:dyDescent="0.25">
      <c r="A3" s="152"/>
      <c r="B3" t="s">
        <v>222</v>
      </c>
      <c r="E3" s="3"/>
      <c r="G3" s="3"/>
      <c r="H3" s="7"/>
      <c r="I3" s="3"/>
      <c r="L3" s="7"/>
      <c r="M3" s="3"/>
      <c r="P3" s="7"/>
      <c r="Q3" s="3"/>
      <c r="R3" s="7"/>
      <c r="S3" s="7"/>
      <c r="T3" s="7"/>
      <c r="U3" s="3"/>
      <c r="V3" s="7"/>
      <c r="W3" s="7"/>
      <c r="X3" s="7"/>
      <c r="Y3" s="7"/>
      <c r="Z3" s="3"/>
      <c r="AA3" s="7"/>
      <c r="AB3" s="7"/>
      <c r="AC3" s="7"/>
      <c r="AD3" s="7"/>
    </row>
    <row r="4" spans="1:31" ht="15.75" x14ac:dyDescent="0.25">
      <c r="A4" s="9"/>
      <c r="B4" t="s">
        <v>223</v>
      </c>
      <c r="E4" s="3"/>
      <c r="G4" s="3"/>
      <c r="H4" s="7"/>
      <c r="I4" s="3"/>
      <c r="L4" s="7"/>
      <c r="M4" s="3"/>
      <c r="P4" s="7"/>
      <c r="Q4" s="3"/>
      <c r="R4" s="7"/>
      <c r="S4" s="7"/>
      <c r="T4" s="7"/>
      <c r="U4" s="3"/>
      <c r="V4" s="7"/>
      <c r="W4" s="7"/>
      <c r="X4" s="7"/>
      <c r="Y4" s="7"/>
      <c r="Z4" s="3"/>
      <c r="AA4" s="7"/>
      <c r="AB4" s="7"/>
      <c r="AC4" s="7"/>
      <c r="AD4" s="7"/>
    </row>
    <row r="5" spans="1:31" ht="15.75" thickBot="1" x14ac:dyDescent="0.3">
      <c r="B5" t="s">
        <v>224</v>
      </c>
      <c r="E5" s="3"/>
      <c r="G5" s="3"/>
      <c r="H5" s="7"/>
      <c r="I5" s="3"/>
      <c r="L5" s="7"/>
      <c r="M5" s="3"/>
      <c r="P5" s="7"/>
      <c r="Q5" s="3"/>
      <c r="R5" s="7"/>
      <c r="S5" s="7"/>
      <c r="T5" s="7"/>
      <c r="U5" s="3"/>
      <c r="V5" s="7"/>
      <c r="W5" s="7"/>
      <c r="X5" s="7"/>
      <c r="Y5" s="7"/>
      <c r="Z5" s="3"/>
      <c r="AA5" s="7"/>
      <c r="AB5" s="7"/>
      <c r="AC5" s="7"/>
      <c r="AD5" s="7"/>
    </row>
    <row r="6" spans="1:31" ht="16.5" thickTop="1" thickBot="1" x14ac:dyDescent="0.3">
      <c r="A6" s="153"/>
      <c r="B6" s="154" t="s">
        <v>109</v>
      </c>
      <c r="C6" s="155"/>
      <c r="D6" s="156"/>
      <c r="E6" s="157"/>
      <c r="F6" s="154" t="s">
        <v>110</v>
      </c>
      <c r="G6" s="158"/>
      <c r="H6" s="159"/>
      <c r="I6" s="157"/>
      <c r="J6" s="154" t="s">
        <v>111</v>
      </c>
      <c r="K6" s="155"/>
      <c r="L6" s="159"/>
      <c r="M6" s="157"/>
      <c r="N6" s="154" t="s">
        <v>185</v>
      </c>
      <c r="O6" s="155"/>
      <c r="P6" s="159"/>
      <c r="Q6" s="157"/>
      <c r="R6" s="160" t="s">
        <v>186</v>
      </c>
      <c r="S6" s="161"/>
      <c r="T6" s="159"/>
      <c r="U6" s="157"/>
      <c r="V6" s="160" t="s">
        <v>187</v>
      </c>
      <c r="W6" s="161"/>
      <c r="X6" s="161"/>
      <c r="Y6" s="159"/>
      <c r="Z6" s="157"/>
      <c r="AA6" s="160" t="s">
        <v>225</v>
      </c>
      <c r="AB6" s="161"/>
      <c r="AC6" s="161"/>
      <c r="AD6" s="159"/>
      <c r="AE6" s="162" t="s">
        <v>105</v>
      </c>
    </row>
    <row r="7" spans="1:31" ht="16.5" thickTop="1" thickBot="1" x14ac:dyDescent="0.3">
      <c r="A7" s="232"/>
      <c r="B7" s="233">
        <v>37000</v>
      </c>
      <c r="C7" s="234">
        <v>24500</v>
      </c>
      <c r="D7" s="235">
        <v>38318</v>
      </c>
      <c r="E7" s="236"/>
      <c r="F7" s="233">
        <v>37000</v>
      </c>
      <c r="G7" s="234">
        <v>24500</v>
      </c>
      <c r="H7" s="235">
        <v>38318</v>
      </c>
      <c r="I7" s="236"/>
      <c r="J7" s="233">
        <v>37000</v>
      </c>
      <c r="K7" s="234">
        <v>24500</v>
      </c>
      <c r="L7" s="235">
        <v>38318</v>
      </c>
      <c r="M7" s="236"/>
      <c r="N7" s="233">
        <v>37000</v>
      </c>
      <c r="O7" s="234">
        <v>24500</v>
      </c>
      <c r="P7" s="235">
        <v>38318</v>
      </c>
      <c r="Q7" s="236"/>
      <c r="R7" s="233">
        <v>37000</v>
      </c>
      <c r="S7" s="234">
        <v>24500</v>
      </c>
      <c r="T7" s="235">
        <v>38318</v>
      </c>
      <c r="U7" s="236"/>
      <c r="V7" s="233">
        <v>37000</v>
      </c>
      <c r="W7" s="47"/>
      <c r="X7" s="238">
        <v>26500</v>
      </c>
      <c r="Y7" s="235">
        <v>38318</v>
      </c>
      <c r="Z7" s="236"/>
      <c r="AA7" s="233">
        <v>37000</v>
      </c>
      <c r="AB7" s="47"/>
      <c r="AC7" s="238">
        <v>26500</v>
      </c>
      <c r="AD7" s="235">
        <v>38318</v>
      </c>
      <c r="AE7" s="299" t="s">
        <v>188</v>
      </c>
    </row>
    <row r="8" spans="1:31" x14ac:dyDescent="0.25">
      <c r="A8" s="232"/>
      <c r="B8" s="241">
        <v>37058</v>
      </c>
      <c r="C8" s="47"/>
      <c r="E8" s="236"/>
      <c r="F8" s="241">
        <v>37058</v>
      </c>
      <c r="G8" s="45"/>
      <c r="I8" s="236"/>
      <c r="J8" s="241">
        <v>37058</v>
      </c>
      <c r="K8" s="45"/>
      <c r="M8" s="236"/>
      <c r="N8" s="241">
        <v>37058</v>
      </c>
      <c r="O8" s="47"/>
      <c r="Q8" s="236"/>
      <c r="R8" s="241">
        <v>37058</v>
      </c>
      <c r="S8" s="47"/>
      <c r="U8" s="236"/>
      <c r="V8" s="241">
        <v>37058</v>
      </c>
      <c r="W8" s="47"/>
      <c r="X8" s="243">
        <v>25557</v>
      </c>
      <c r="Y8" s="171"/>
      <c r="Z8" s="236"/>
      <c r="AA8" s="241">
        <v>37058</v>
      </c>
      <c r="AB8" s="47"/>
      <c r="AC8" s="243">
        <v>25557</v>
      </c>
      <c r="AD8" s="171"/>
      <c r="AE8" s="309"/>
    </row>
    <row r="9" spans="1:31" x14ac:dyDescent="0.25">
      <c r="A9" s="652">
        <v>1</v>
      </c>
      <c r="B9" s="617">
        <f>38248-1191.75+3.5*A9</f>
        <v>37059.75</v>
      </c>
      <c r="C9" s="617" t="s">
        <v>106</v>
      </c>
      <c r="D9" s="617">
        <f>38248+68.25+3.5*A9</f>
        <v>38319.75</v>
      </c>
      <c r="E9" s="619">
        <v>1</v>
      </c>
      <c r="F9" s="617">
        <f>38248-1193.5+7*E9</f>
        <v>37061.5</v>
      </c>
      <c r="G9" s="620" t="s">
        <v>106</v>
      </c>
      <c r="H9" s="617">
        <f>38248+66.5+7*E9</f>
        <v>38321.5</v>
      </c>
      <c r="I9" s="619"/>
      <c r="J9" s="618"/>
      <c r="K9" s="618"/>
      <c r="L9" s="622"/>
      <c r="M9" s="619"/>
      <c r="N9" s="618"/>
      <c r="O9" s="618"/>
      <c r="P9" s="622"/>
      <c r="Q9" s="619"/>
      <c r="R9" s="624"/>
      <c r="S9" s="624"/>
      <c r="T9" s="622"/>
      <c r="U9" s="245"/>
      <c r="V9" s="249"/>
      <c r="W9" s="249"/>
      <c r="X9" s="249"/>
      <c r="Y9" s="247"/>
      <c r="Z9" s="245"/>
      <c r="AA9" s="249"/>
      <c r="AB9" s="249"/>
      <c r="AC9" s="249"/>
      <c r="AD9" s="247"/>
      <c r="AE9" s="345"/>
    </row>
    <row r="10" spans="1:31" x14ac:dyDescent="0.25">
      <c r="A10" s="606">
        <f>A9+1</f>
        <v>2</v>
      </c>
      <c r="B10" s="617">
        <f t="shared" ref="B10:B73" si="0">38248-1191.75+3.5*A10</f>
        <v>37063.25</v>
      </c>
      <c r="C10" s="617" t="s">
        <v>106</v>
      </c>
      <c r="D10" s="617">
        <f t="shared" ref="D10:D73" si="1">38248+68.25+3.5*A10</f>
        <v>38323.25</v>
      </c>
      <c r="E10" s="619" t="s">
        <v>127</v>
      </c>
      <c r="F10" s="618"/>
      <c r="G10" s="620"/>
      <c r="H10" s="622"/>
      <c r="I10" s="619">
        <v>1</v>
      </c>
      <c r="J10" s="617">
        <f>38248-1197+14*I10</f>
        <v>37065</v>
      </c>
      <c r="K10" s="620" t="s">
        <v>106</v>
      </c>
      <c r="L10" s="617">
        <f>38248+63+14*I10</f>
        <v>38325</v>
      </c>
      <c r="M10" s="619"/>
      <c r="N10" s="618"/>
      <c r="O10" s="618"/>
      <c r="P10" s="622"/>
      <c r="Q10" s="619"/>
      <c r="R10" s="624"/>
      <c r="S10" s="624"/>
      <c r="T10" s="622"/>
      <c r="U10" s="245"/>
      <c r="V10" s="249"/>
      <c r="W10" s="249"/>
      <c r="X10" s="249"/>
      <c r="Y10" s="247"/>
      <c r="Z10" s="245"/>
      <c r="AA10" s="249"/>
      <c r="AB10" s="249"/>
      <c r="AC10" s="249"/>
      <c r="AD10" s="247"/>
      <c r="AE10" s="202"/>
    </row>
    <row r="11" spans="1:31" x14ac:dyDescent="0.25">
      <c r="A11" s="606">
        <f t="shared" ref="A11:A74" si="2">A10+1</f>
        <v>3</v>
      </c>
      <c r="B11" s="617">
        <f t="shared" si="0"/>
        <v>37066.75</v>
      </c>
      <c r="C11" s="617" t="s">
        <v>106</v>
      </c>
      <c r="D11" s="617">
        <f t="shared" si="1"/>
        <v>38326.75</v>
      </c>
      <c r="E11" s="619">
        <f>E9+1</f>
        <v>2</v>
      </c>
      <c r="F11" s="617">
        <f>38248-1193.5+7*E11</f>
        <v>37068.5</v>
      </c>
      <c r="G11" s="620" t="s">
        <v>106</v>
      </c>
      <c r="H11" s="617">
        <f>38248+66.5+7*E11</f>
        <v>38328.5</v>
      </c>
      <c r="I11" s="619"/>
      <c r="J11" s="618"/>
      <c r="K11" s="620"/>
      <c r="L11" s="621"/>
      <c r="M11" s="619"/>
      <c r="N11" s="618"/>
      <c r="O11" s="618"/>
      <c r="P11" s="622"/>
      <c r="Q11" s="619"/>
      <c r="R11" s="624"/>
      <c r="S11" s="624"/>
      <c r="T11" s="622"/>
      <c r="U11" s="245"/>
      <c r="V11" s="250"/>
      <c r="W11" s="249"/>
      <c r="X11" s="249"/>
      <c r="Y11" s="251"/>
      <c r="Z11" s="245"/>
      <c r="AA11" s="250"/>
      <c r="AB11" s="249"/>
      <c r="AC11" s="249"/>
      <c r="AD11" s="251"/>
      <c r="AE11" s="202"/>
    </row>
    <row r="12" spans="1:31" x14ac:dyDescent="0.25">
      <c r="A12" s="606">
        <f t="shared" si="2"/>
        <v>4</v>
      </c>
      <c r="B12" s="617">
        <f t="shared" si="0"/>
        <v>37070.25</v>
      </c>
      <c r="C12" s="617" t="s">
        <v>106</v>
      </c>
      <c r="D12" s="617">
        <f t="shared" si="1"/>
        <v>38330.25</v>
      </c>
      <c r="E12" s="619" t="s">
        <v>127</v>
      </c>
      <c r="F12" s="618"/>
      <c r="G12" s="620"/>
      <c r="H12" s="622"/>
      <c r="I12" s="619"/>
      <c r="J12" s="618"/>
      <c r="K12" s="618"/>
      <c r="L12" s="622"/>
      <c r="M12" s="619">
        <v>1</v>
      </c>
      <c r="N12" s="617">
        <f>38248-1204+28*M12</f>
        <v>37072</v>
      </c>
      <c r="O12" s="620" t="s">
        <v>106</v>
      </c>
      <c r="P12" s="617">
        <f>38248+56+28*M12</f>
        <v>38332</v>
      </c>
      <c r="Q12" s="619"/>
      <c r="R12" s="624"/>
      <c r="S12" s="624"/>
      <c r="T12" s="622"/>
      <c r="U12" s="245"/>
      <c r="V12" s="249"/>
      <c r="W12" s="249"/>
      <c r="X12" s="249"/>
      <c r="Y12" s="249"/>
      <c r="Z12" s="245"/>
      <c r="AA12" s="249"/>
      <c r="AB12" s="249"/>
      <c r="AC12" s="249"/>
      <c r="AD12" s="249"/>
      <c r="AE12" s="202" t="s">
        <v>226</v>
      </c>
    </row>
    <row r="13" spans="1:31" x14ac:dyDescent="0.25">
      <c r="A13" s="606">
        <f t="shared" si="2"/>
        <v>5</v>
      </c>
      <c r="B13" s="617">
        <f t="shared" si="0"/>
        <v>37073.75</v>
      </c>
      <c r="C13" s="617" t="s">
        <v>106</v>
      </c>
      <c r="D13" s="617">
        <f t="shared" si="1"/>
        <v>38333.75</v>
      </c>
      <c r="E13" s="619">
        <f>E11+1</f>
        <v>3</v>
      </c>
      <c r="F13" s="617">
        <f>38248-1193.5+7*E13</f>
        <v>37075.5</v>
      </c>
      <c r="G13" s="620" t="s">
        <v>106</v>
      </c>
      <c r="H13" s="617">
        <f>38248+66.5+7*E13</f>
        <v>38335.5</v>
      </c>
      <c r="I13" s="619"/>
      <c r="J13" s="618"/>
      <c r="K13" s="618"/>
      <c r="L13" s="622"/>
      <c r="M13" s="619"/>
      <c r="N13" s="618"/>
      <c r="O13" s="618"/>
      <c r="P13" s="622"/>
      <c r="Q13" s="619"/>
      <c r="R13" s="624"/>
      <c r="S13" s="624"/>
      <c r="T13" s="622"/>
      <c r="U13" s="245"/>
      <c r="V13" s="249"/>
      <c r="W13" s="249"/>
      <c r="X13" s="249"/>
      <c r="Y13" s="247"/>
      <c r="Z13" s="245"/>
      <c r="AA13" s="249"/>
      <c r="AB13" s="249"/>
      <c r="AC13" s="249"/>
      <c r="AD13" s="247"/>
      <c r="AE13" s="202" t="s">
        <v>227</v>
      </c>
    </row>
    <row r="14" spans="1:31" x14ac:dyDescent="0.25">
      <c r="A14" s="606">
        <f t="shared" si="2"/>
        <v>6</v>
      </c>
      <c r="B14" s="617">
        <f t="shared" si="0"/>
        <v>37077.25</v>
      </c>
      <c r="C14" s="617" t="s">
        <v>106</v>
      </c>
      <c r="D14" s="617">
        <f t="shared" si="1"/>
        <v>38337.25</v>
      </c>
      <c r="E14" s="619" t="s">
        <v>127</v>
      </c>
      <c r="F14" s="618"/>
      <c r="G14" s="620"/>
      <c r="H14" s="622"/>
      <c r="I14" s="619">
        <f>I10+1</f>
        <v>2</v>
      </c>
      <c r="J14" s="617">
        <f>38248-1197+14*I14</f>
        <v>37079</v>
      </c>
      <c r="K14" s="620" t="s">
        <v>106</v>
      </c>
      <c r="L14" s="617">
        <f>38248+63+14*I14</f>
        <v>38339</v>
      </c>
      <c r="M14" s="619"/>
      <c r="N14" s="618"/>
      <c r="O14" s="618"/>
      <c r="P14" s="622"/>
      <c r="Q14" s="619"/>
      <c r="R14" s="624"/>
      <c r="S14" s="624"/>
      <c r="T14" s="622"/>
      <c r="U14" s="245"/>
      <c r="V14" s="249"/>
      <c r="W14" s="249"/>
      <c r="X14" s="249"/>
      <c r="Y14" s="247"/>
      <c r="Z14" s="245"/>
      <c r="AA14" s="249"/>
      <c r="AB14" s="249"/>
      <c r="AC14" s="249"/>
      <c r="AD14" s="247"/>
      <c r="AE14" s="202" t="s">
        <v>228</v>
      </c>
    </row>
    <row r="15" spans="1:31" x14ac:dyDescent="0.25">
      <c r="A15" s="606">
        <f t="shared" si="2"/>
        <v>7</v>
      </c>
      <c r="B15" s="617">
        <f t="shared" si="0"/>
        <v>37080.75</v>
      </c>
      <c r="C15" s="617" t="s">
        <v>106</v>
      </c>
      <c r="D15" s="617">
        <f t="shared" si="1"/>
        <v>38340.75</v>
      </c>
      <c r="E15" s="619">
        <f>E13+1</f>
        <v>4</v>
      </c>
      <c r="F15" s="617">
        <f>38248-1193.5+7*E15</f>
        <v>37082.5</v>
      </c>
      <c r="G15" s="620" t="s">
        <v>106</v>
      </c>
      <c r="H15" s="617">
        <f>38248+66.5+7*E15</f>
        <v>38342.5</v>
      </c>
      <c r="I15" s="619"/>
      <c r="J15" s="618"/>
      <c r="K15" s="620"/>
      <c r="L15" s="621"/>
      <c r="M15" s="619"/>
      <c r="N15" s="618"/>
      <c r="O15" s="618"/>
      <c r="P15" s="622"/>
      <c r="Q15" s="619"/>
      <c r="R15" s="624"/>
      <c r="S15" s="624"/>
      <c r="T15" s="622"/>
      <c r="U15" s="245"/>
      <c r="V15" s="249"/>
      <c r="W15" s="249"/>
      <c r="X15" s="249"/>
      <c r="Y15" s="247"/>
      <c r="Z15" s="245"/>
      <c r="AA15" s="249"/>
      <c r="AB15" s="249"/>
      <c r="AC15" s="249"/>
      <c r="AD15" s="247"/>
      <c r="AE15" s="202" t="s">
        <v>229</v>
      </c>
    </row>
    <row r="16" spans="1:31" x14ac:dyDescent="0.25">
      <c r="A16" s="606">
        <f t="shared" si="2"/>
        <v>8</v>
      </c>
      <c r="B16" s="617">
        <f t="shared" si="0"/>
        <v>37084.25</v>
      </c>
      <c r="C16" s="617" t="s">
        <v>106</v>
      </c>
      <c r="D16" s="617">
        <f t="shared" si="1"/>
        <v>38344.25</v>
      </c>
      <c r="E16" s="619" t="s">
        <v>127</v>
      </c>
      <c r="F16" s="618"/>
      <c r="G16" s="620"/>
      <c r="H16" s="622"/>
      <c r="I16" s="619"/>
      <c r="J16" s="618"/>
      <c r="K16" s="618"/>
      <c r="L16" s="622"/>
      <c r="M16" s="619"/>
      <c r="N16" s="618"/>
      <c r="O16" s="618"/>
      <c r="P16" s="622"/>
      <c r="Q16" s="619">
        <v>1</v>
      </c>
      <c r="R16" s="617">
        <f>38248-1218+56*Q16</f>
        <v>37086</v>
      </c>
      <c r="S16" s="620" t="s">
        <v>106</v>
      </c>
      <c r="T16" s="617">
        <f>38248+42+56*Q16</f>
        <v>38346</v>
      </c>
      <c r="U16" s="245"/>
      <c r="V16" s="249"/>
      <c r="W16" s="249"/>
      <c r="X16" s="249"/>
      <c r="Y16" s="247"/>
      <c r="Z16" s="245"/>
      <c r="AA16" s="249"/>
      <c r="AB16" s="249"/>
      <c r="AC16" s="249"/>
      <c r="AD16" s="247"/>
      <c r="AE16" s="202"/>
    </row>
    <row r="17" spans="1:31" x14ac:dyDescent="0.25">
      <c r="A17" s="606">
        <f t="shared" si="2"/>
        <v>9</v>
      </c>
      <c r="B17" s="617">
        <f t="shared" si="0"/>
        <v>37087.75</v>
      </c>
      <c r="C17" s="617" t="s">
        <v>106</v>
      </c>
      <c r="D17" s="617">
        <f t="shared" si="1"/>
        <v>38347.75</v>
      </c>
      <c r="E17" s="619">
        <f>E15+1</f>
        <v>5</v>
      </c>
      <c r="F17" s="617">
        <f>38248-1193.5+7*E17</f>
        <v>37089.5</v>
      </c>
      <c r="G17" s="620" t="s">
        <v>106</v>
      </c>
      <c r="H17" s="617">
        <f>38248+66.5+7*E17</f>
        <v>38349.5</v>
      </c>
      <c r="I17" s="619"/>
      <c r="J17" s="618"/>
      <c r="K17" s="618"/>
      <c r="L17" s="622"/>
      <c r="M17" s="619"/>
      <c r="N17" s="618"/>
      <c r="O17" s="618"/>
      <c r="P17" s="622"/>
      <c r="Q17" s="619"/>
      <c r="R17" s="624"/>
      <c r="S17" s="624"/>
      <c r="T17" s="622"/>
      <c r="U17" s="245"/>
      <c r="V17" s="249"/>
      <c r="W17" s="249"/>
      <c r="X17" s="249"/>
      <c r="Y17" s="247"/>
      <c r="Z17" s="245"/>
      <c r="AA17" s="249"/>
      <c r="AB17" s="249"/>
      <c r="AC17" s="249"/>
      <c r="AD17" s="247"/>
      <c r="AE17" s="202"/>
    </row>
    <row r="18" spans="1:31" x14ac:dyDescent="0.25">
      <c r="A18" s="606">
        <f t="shared" si="2"/>
        <v>10</v>
      </c>
      <c r="B18" s="617">
        <f t="shared" si="0"/>
        <v>37091.25</v>
      </c>
      <c r="C18" s="617" t="s">
        <v>106</v>
      </c>
      <c r="D18" s="617">
        <f t="shared" si="1"/>
        <v>38351.25</v>
      </c>
      <c r="E18" s="619" t="s">
        <v>127</v>
      </c>
      <c r="F18" s="618"/>
      <c r="G18" s="620"/>
      <c r="H18" s="622"/>
      <c r="I18" s="619">
        <f>I14+1</f>
        <v>3</v>
      </c>
      <c r="J18" s="617">
        <f>38248-1197+14*I18</f>
        <v>37093</v>
      </c>
      <c r="K18" s="620" t="s">
        <v>106</v>
      </c>
      <c r="L18" s="617">
        <f>38248+63+14*I18</f>
        <v>38353</v>
      </c>
      <c r="M18" s="619"/>
      <c r="N18" s="618"/>
      <c r="O18" s="618"/>
      <c r="P18" s="622"/>
      <c r="Q18" s="619"/>
      <c r="R18" s="624"/>
      <c r="S18" s="624"/>
      <c r="T18" s="622"/>
      <c r="U18" s="245"/>
      <c r="V18" s="249"/>
      <c r="W18" s="249"/>
      <c r="X18" s="249"/>
      <c r="Y18" s="247"/>
      <c r="Z18" s="245"/>
      <c r="AA18" s="249"/>
      <c r="AB18" s="249"/>
      <c r="AC18" s="249"/>
      <c r="AD18" s="247"/>
      <c r="AE18" s="202"/>
    </row>
    <row r="19" spans="1:31" x14ac:dyDescent="0.25">
      <c r="A19" s="606">
        <f t="shared" si="2"/>
        <v>11</v>
      </c>
      <c r="B19" s="617">
        <f t="shared" si="0"/>
        <v>37094.75</v>
      </c>
      <c r="C19" s="617" t="s">
        <v>106</v>
      </c>
      <c r="D19" s="617">
        <f t="shared" si="1"/>
        <v>38354.75</v>
      </c>
      <c r="E19" s="619">
        <f>E17+1</f>
        <v>6</v>
      </c>
      <c r="F19" s="617">
        <f>38248-1193.5+7*E19</f>
        <v>37096.5</v>
      </c>
      <c r="G19" s="620" t="s">
        <v>106</v>
      </c>
      <c r="H19" s="617">
        <f>38248+66.5+7*E19</f>
        <v>38356.5</v>
      </c>
      <c r="I19" s="619"/>
      <c r="J19" s="618"/>
      <c r="K19" s="620"/>
      <c r="L19" s="621"/>
      <c r="M19" s="619"/>
      <c r="N19" s="618"/>
      <c r="O19" s="618"/>
      <c r="P19" s="622"/>
      <c r="Q19" s="619"/>
      <c r="R19" s="647"/>
      <c r="S19" s="624"/>
      <c r="T19" s="648"/>
      <c r="U19" s="245"/>
      <c r="V19" s="249"/>
      <c r="W19" s="249"/>
      <c r="X19" s="249"/>
      <c r="Y19" s="247"/>
      <c r="Z19" s="245"/>
      <c r="AA19" s="249"/>
      <c r="AB19" s="249"/>
      <c r="AC19" s="249"/>
      <c r="AD19" s="247"/>
      <c r="AE19" s="202"/>
    </row>
    <row r="20" spans="1:31" x14ac:dyDescent="0.25">
      <c r="A20" s="606">
        <f t="shared" si="2"/>
        <v>12</v>
      </c>
      <c r="B20" s="617">
        <f t="shared" si="0"/>
        <v>37098.25</v>
      </c>
      <c r="C20" s="617" t="s">
        <v>106</v>
      </c>
      <c r="D20" s="617">
        <f t="shared" si="1"/>
        <v>38358.25</v>
      </c>
      <c r="E20" s="619" t="s">
        <v>127</v>
      </c>
      <c r="F20" s="618"/>
      <c r="G20" s="620"/>
      <c r="H20" s="622"/>
      <c r="I20" s="619"/>
      <c r="J20" s="618"/>
      <c r="K20" s="618"/>
      <c r="L20" s="622"/>
      <c r="M20" s="619">
        <f>M12+1</f>
        <v>2</v>
      </c>
      <c r="N20" s="617">
        <f>38248-1204+28*M20</f>
        <v>37100</v>
      </c>
      <c r="O20" s="620" t="s">
        <v>106</v>
      </c>
      <c r="P20" s="617">
        <f>38248+56+28*M20</f>
        <v>38360</v>
      </c>
      <c r="Q20" s="619"/>
      <c r="R20" s="624"/>
      <c r="S20" s="624"/>
      <c r="T20" s="622"/>
      <c r="U20" s="117"/>
      <c r="V20" s="249"/>
      <c r="W20" s="249"/>
      <c r="X20" s="249"/>
      <c r="Y20" s="247"/>
      <c r="Z20" s="117"/>
      <c r="AA20" s="249"/>
      <c r="AB20" s="249"/>
      <c r="AC20" s="249"/>
      <c r="AD20" s="247"/>
      <c r="AE20" s="202"/>
    </row>
    <row r="21" spans="1:31" x14ac:dyDescent="0.25">
      <c r="A21" s="606">
        <f t="shared" si="2"/>
        <v>13</v>
      </c>
      <c r="B21" s="617">
        <f t="shared" si="0"/>
        <v>37101.75</v>
      </c>
      <c r="C21" s="617" t="s">
        <v>106</v>
      </c>
      <c r="D21" s="617">
        <f t="shared" si="1"/>
        <v>38361.75</v>
      </c>
      <c r="E21" s="619">
        <f>E19+1</f>
        <v>7</v>
      </c>
      <c r="F21" s="617">
        <f>38248-1193.5+7*E21</f>
        <v>37103.5</v>
      </c>
      <c r="G21" s="620" t="s">
        <v>106</v>
      </c>
      <c r="H21" s="617">
        <f>38248+66.5+7*E21</f>
        <v>38363.5</v>
      </c>
      <c r="I21" s="619"/>
      <c r="J21" s="618"/>
      <c r="K21" s="618"/>
      <c r="L21" s="622"/>
      <c r="M21" s="619"/>
      <c r="N21" s="618"/>
      <c r="O21" s="618"/>
      <c r="P21" s="622"/>
      <c r="Q21" s="619"/>
      <c r="R21" s="624"/>
      <c r="S21" s="624"/>
      <c r="T21" s="622"/>
      <c r="U21" s="245"/>
      <c r="V21" s="249"/>
      <c r="W21" s="249"/>
      <c r="X21" s="249"/>
      <c r="Y21" s="247"/>
      <c r="Z21" s="245"/>
      <c r="AA21" s="249"/>
      <c r="AB21" s="249"/>
      <c r="AC21" s="249"/>
      <c r="AD21" s="247"/>
      <c r="AE21" s="202"/>
    </row>
    <row r="22" spans="1:31" x14ac:dyDescent="0.25">
      <c r="A22" s="606">
        <f t="shared" si="2"/>
        <v>14</v>
      </c>
      <c r="B22" s="617">
        <f t="shared" si="0"/>
        <v>37105.25</v>
      </c>
      <c r="C22" s="617" t="s">
        <v>106</v>
      </c>
      <c r="D22" s="617">
        <f t="shared" si="1"/>
        <v>38365.25</v>
      </c>
      <c r="E22" s="645" t="s">
        <v>127</v>
      </c>
      <c r="F22" s="618"/>
      <c r="G22" s="620"/>
      <c r="H22" s="622"/>
      <c r="I22" s="645">
        <f>I18+1</f>
        <v>4</v>
      </c>
      <c r="J22" s="617">
        <f>38248-1197+14*I22</f>
        <v>37107</v>
      </c>
      <c r="K22" s="620" t="s">
        <v>106</v>
      </c>
      <c r="L22" s="617">
        <f>38248+63+14*I22</f>
        <v>38367</v>
      </c>
      <c r="M22" s="645"/>
      <c r="N22" s="618"/>
      <c r="O22" s="618"/>
      <c r="P22" s="622"/>
      <c r="Q22" s="645"/>
      <c r="R22" s="647"/>
      <c r="S22" s="647"/>
      <c r="T22" s="648"/>
      <c r="U22" s="254"/>
      <c r="V22" s="250"/>
      <c r="W22" s="250"/>
      <c r="X22" s="250"/>
      <c r="Y22" s="251"/>
      <c r="Z22" s="254"/>
      <c r="AA22" s="250"/>
      <c r="AB22" s="250"/>
      <c r="AC22" s="250"/>
      <c r="AD22" s="251"/>
      <c r="AE22" s="202"/>
    </row>
    <row r="23" spans="1:31" x14ac:dyDescent="0.25">
      <c r="A23" s="606">
        <f t="shared" si="2"/>
        <v>15</v>
      </c>
      <c r="B23" s="617">
        <f t="shared" si="0"/>
        <v>37108.75</v>
      </c>
      <c r="C23" s="617" t="s">
        <v>106</v>
      </c>
      <c r="D23" s="617">
        <f t="shared" si="1"/>
        <v>38368.75</v>
      </c>
      <c r="E23" s="619">
        <f>E21+1</f>
        <v>8</v>
      </c>
      <c r="F23" s="617">
        <f>38248-1193.5+7*E23</f>
        <v>37110.5</v>
      </c>
      <c r="G23" s="620" t="s">
        <v>106</v>
      </c>
      <c r="H23" s="617">
        <f>38248+66.5+7*E23</f>
        <v>38370.5</v>
      </c>
      <c r="I23" s="619"/>
      <c r="J23" s="618"/>
      <c r="K23" s="620"/>
      <c r="L23" s="621"/>
      <c r="M23" s="619"/>
      <c r="N23" s="618"/>
      <c r="O23" s="618"/>
      <c r="P23" s="622"/>
      <c r="Q23" s="619"/>
      <c r="R23" s="624"/>
      <c r="S23" s="624"/>
      <c r="T23" s="622"/>
      <c r="U23" s="245"/>
      <c r="V23" s="249"/>
      <c r="W23" s="249"/>
      <c r="X23" s="249"/>
      <c r="Y23" s="247"/>
      <c r="Z23" s="245"/>
      <c r="AA23" s="249"/>
      <c r="AB23" s="249"/>
      <c r="AC23" s="249"/>
      <c r="AD23" s="247"/>
      <c r="AE23" s="202"/>
    </row>
    <row r="24" spans="1:31" ht="15.75" thickBot="1" x14ac:dyDescent="0.3">
      <c r="A24" s="642">
        <f t="shared" si="2"/>
        <v>16</v>
      </c>
      <c r="B24" s="673">
        <f t="shared" si="0"/>
        <v>37112.25</v>
      </c>
      <c r="C24" s="673" t="s">
        <v>106</v>
      </c>
      <c r="D24" s="673">
        <f t="shared" si="1"/>
        <v>38372.25</v>
      </c>
      <c r="E24" s="645"/>
      <c r="F24" s="643"/>
      <c r="G24" s="644"/>
      <c r="H24" s="648"/>
      <c r="I24" s="645"/>
      <c r="J24" s="643"/>
      <c r="K24" s="643"/>
      <c r="L24" s="648"/>
      <c r="M24" s="645"/>
      <c r="N24" s="643"/>
      <c r="O24" s="643"/>
      <c r="P24" s="648"/>
      <c r="Q24" s="645"/>
      <c r="R24" s="647"/>
      <c r="S24" s="647"/>
      <c r="T24" s="648"/>
      <c r="U24" s="645">
        <v>1</v>
      </c>
      <c r="V24" s="617">
        <f>38248-1246+112*U24</f>
        <v>37114</v>
      </c>
      <c r="W24" s="644" t="s">
        <v>106</v>
      </c>
      <c r="X24" s="617">
        <f>38248+14+112*U24</f>
        <v>38374</v>
      </c>
      <c r="Y24" s="538"/>
      <c r="Z24" s="254"/>
      <c r="AA24" s="112"/>
      <c r="AB24" s="65"/>
      <c r="AC24" s="112"/>
      <c r="AE24" s="346"/>
    </row>
    <row r="25" spans="1:31" ht="15.75" thickTop="1" x14ac:dyDescent="0.25">
      <c r="A25" s="721">
        <f t="shared" si="2"/>
        <v>17</v>
      </c>
      <c r="B25" s="655">
        <f t="shared" si="0"/>
        <v>37115.75</v>
      </c>
      <c r="C25" s="655" t="s">
        <v>106</v>
      </c>
      <c r="D25" s="655">
        <f t="shared" si="1"/>
        <v>38375.75</v>
      </c>
      <c r="E25" s="657">
        <f>E23+1</f>
        <v>9</v>
      </c>
      <c r="F25" s="655">
        <f>38248-1193.5+7*E25</f>
        <v>37117.5</v>
      </c>
      <c r="G25" s="722" t="s">
        <v>106</v>
      </c>
      <c r="H25" s="655">
        <f>38248+66.5+7*E25</f>
        <v>38377.5</v>
      </c>
      <c r="I25" s="657"/>
      <c r="J25" s="655"/>
      <c r="K25" s="655"/>
      <c r="L25" s="656"/>
      <c r="M25" s="657"/>
      <c r="N25" s="655"/>
      <c r="O25" s="655"/>
      <c r="P25" s="656"/>
      <c r="Q25" s="657"/>
      <c r="R25" s="660"/>
      <c r="S25" s="660"/>
      <c r="T25" s="656"/>
      <c r="U25" s="326"/>
      <c r="V25" s="348"/>
      <c r="W25" s="348"/>
      <c r="X25" s="348"/>
      <c r="Y25" s="325"/>
      <c r="Z25" s="326"/>
      <c r="AA25" s="348"/>
      <c r="AB25" s="348"/>
      <c r="AC25" s="348"/>
      <c r="AD25" s="325"/>
      <c r="AE25" s="328"/>
    </row>
    <row r="26" spans="1:31" x14ac:dyDescent="0.25">
      <c r="A26" s="606">
        <f t="shared" si="2"/>
        <v>18</v>
      </c>
      <c r="B26" s="617">
        <f t="shared" si="0"/>
        <v>37119.25</v>
      </c>
      <c r="C26" s="617" t="s">
        <v>106</v>
      </c>
      <c r="D26" s="617">
        <f t="shared" si="1"/>
        <v>38379.25</v>
      </c>
      <c r="E26" s="619"/>
      <c r="F26" s="618"/>
      <c r="G26" s="620"/>
      <c r="H26" s="622"/>
      <c r="I26" s="619">
        <f>I22+1</f>
        <v>5</v>
      </c>
      <c r="J26" s="617">
        <f>38248-1197+14*I26</f>
        <v>37121</v>
      </c>
      <c r="K26" s="620" t="s">
        <v>106</v>
      </c>
      <c r="L26" s="617">
        <f>38248+63+14*I26</f>
        <v>38381</v>
      </c>
      <c r="M26" s="619"/>
      <c r="N26" s="618"/>
      <c r="O26" s="618"/>
      <c r="P26" s="622"/>
      <c r="Q26" s="619"/>
      <c r="R26" s="624"/>
      <c r="S26" s="624"/>
      <c r="T26" s="622"/>
      <c r="U26" s="245"/>
      <c r="V26" s="249"/>
      <c r="W26" s="249"/>
      <c r="X26" s="249"/>
      <c r="Y26" s="247"/>
      <c r="Z26" s="245"/>
      <c r="AA26" s="249"/>
      <c r="AB26" s="249"/>
      <c r="AC26" s="249"/>
      <c r="AD26" s="247"/>
      <c r="AE26" s="698"/>
    </row>
    <row r="27" spans="1:31" x14ac:dyDescent="0.25">
      <c r="A27" s="606">
        <f t="shared" si="2"/>
        <v>19</v>
      </c>
      <c r="B27" s="617">
        <f t="shared" si="0"/>
        <v>37122.75</v>
      </c>
      <c r="C27" s="617" t="s">
        <v>106</v>
      </c>
      <c r="D27" s="617">
        <f t="shared" si="1"/>
        <v>38382.75</v>
      </c>
      <c r="E27" s="619">
        <f>E25+1</f>
        <v>10</v>
      </c>
      <c r="F27" s="617">
        <f>38248-1193.5+7*E27</f>
        <v>37124.5</v>
      </c>
      <c r="G27" s="620" t="s">
        <v>106</v>
      </c>
      <c r="H27" s="617">
        <f>38248+66.5+7*E27</f>
        <v>38384.5</v>
      </c>
      <c r="I27" s="619"/>
      <c r="J27" s="618"/>
      <c r="K27" s="620"/>
      <c r="L27" s="621"/>
      <c r="M27" s="619"/>
      <c r="N27" s="618"/>
      <c r="O27" s="618"/>
      <c r="P27" s="622"/>
      <c r="Q27" s="619"/>
      <c r="R27" s="624"/>
      <c r="S27" s="624"/>
      <c r="T27" s="622"/>
      <c r="U27" s="245"/>
      <c r="V27" s="249"/>
      <c r="W27" s="249"/>
      <c r="X27" s="249"/>
      <c r="Y27" s="247"/>
      <c r="Z27" s="245"/>
      <c r="AA27" s="249"/>
      <c r="AB27" s="249"/>
      <c r="AC27" s="249"/>
      <c r="AD27" s="247"/>
      <c r="AE27" s="790" t="s">
        <v>156</v>
      </c>
    </row>
    <row r="28" spans="1:31" x14ac:dyDescent="0.25">
      <c r="A28" s="606">
        <f t="shared" si="2"/>
        <v>20</v>
      </c>
      <c r="B28" s="617">
        <f t="shared" si="0"/>
        <v>37126.25</v>
      </c>
      <c r="C28" s="617" t="s">
        <v>106</v>
      </c>
      <c r="D28" s="617">
        <f t="shared" si="1"/>
        <v>38386.25</v>
      </c>
      <c r="E28" s="619"/>
      <c r="F28" s="618"/>
      <c r="G28" s="620"/>
      <c r="H28" s="622"/>
      <c r="I28" s="619"/>
      <c r="J28" s="618"/>
      <c r="K28" s="618"/>
      <c r="L28" s="622"/>
      <c r="M28" s="619">
        <f>M20+1</f>
        <v>3</v>
      </c>
      <c r="N28" s="617">
        <f>38248-1204+28*M28</f>
        <v>37128</v>
      </c>
      <c r="O28" s="620" t="s">
        <v>106</v>
      </c>
      <c r="P28" s="617">
        <f>38248+56+28*M28</f>
        <v>38388</v>
      </c>
      <c r="Q28" s="619"/>
      <c r="R28" s="618"/>
      <c r="S28" s="620"/>
      <c r="T28" s="621"/>
      <c r="U28" s="245"/>
      <c r="W28" s="55"/>
      <c r="X28" s="55"/>
      <c r="Z28" s="245"/>
      <c r="AB28" s="55"/>
      <c r="AC28" s="55"/>
      <c r="AE28" s="679"/>
    </row>
    <row r="29" spans="1:31" x14ac:dyDescent="0.25">
      <c r="A29" s="606">
        <f t="shared" si="2"/>
        <v>21</v>
      </c>
      <c r="B29" s="617">
        <f t="shared" si="0"/>
        <v>37129.75</v>
      </c>
      <c r="C29" s="617" t="s">
        <v>106</v>
      </c>
      <c r="D29" s="617">
        <f t="shared" si="1"/>
        <v>38389.75</v>
      </c>
      <c r="E29" s="619">
        <f>E27+1</f>
        <v>11</v>
      </c>
      <c r="F29" s="617">
        <f>38248-1193.5+7*E29</f>
        <v>37131.5</v>
      </c>
      <c r="G29" s="620" t="s">
        <v>106</v>
      </c>
      <c r="H29" s="617">
        <f>38248+66.5+7*E29</f>
        <v>38391.5</v>
      </c>
      <c r="I29" s="619"/>
      <c r="J29" s="618"/>
      <c r="K29" s="618"/>
      <c r="L29" s="622"/>
      <c r="M29" s="619"/>
      <c r="N29" s="618"/>
      <c r="O29" s="618"/>
      <c r="P29" s="622"/>
      <c r="Q29" s="619"/>
      <c r="R29" s="624"/>
      <c r="S29" s="624"/>
      <c r="T29" s="622"/>
      <c r="U29" s="245"/>
      <c r="V29" s="249"/>
      <c r="W29" s="249"/>
      <c r="X29" s="249"/>
      <c r="Y29" s="247"/>
      <c r="Z29" s="245"/>
      <c r="AA29" s="249"/>
      <c r="AB29" s="249"/>
      <c r="AC29" s="249"/>
      <c r="AD29" s="247"/>
      <c r="AE29" s="202"/>
    </row>
    <row r="30" spans="1:31" x14ac:dyDescent="0.25">
      <c r="A30" s="606">
        <f t="shared" si="2"/>
        <v>22</v>
      </c>
      <c r="B30" s="617">
        <f t="shared" si="0"/>
        <v>37133.25</v>
      </c>
      <c r="C30" s="617" t="s">
        <v>106</v>
      </c>
      <c r="D30" s="617">
        <f t="shared" si="1"/>
        <v>38393.25</v>
      </c>
      <c r="E30" s="619"/>
      <c r="F30" s="618"/>
      <c r="G30" s="620"/>
      <c r="H30" s="622"/>
      <c r="I30" s="619">
        <f>I26+1</f>
        <v>6</v>
      </c>
      <c r="J30" s="617">
        <f>38248-1197+14*I30</f>
        <v>37135</v>
      </c>
      <c r="K30" s="620" t="s">
        <v>106</v>
      </c>
      <c r="L30" s="617">
        <f>38248+63+14*I30</f>
        <v>38395</v>
      </c>
      <c r="M30" s="619"/>
      <c r="N30" s="618"/>
      <c r="O30" s="618"/>
      <c r="P30" s="622"/>
      <c r="Q30" s="619"/>
      <c r="R30" s="624"/>
      <c r="S30" s="624"/>
      <c r="T30" s="622"/>
      <c r="U30" s="245"/>
      <c r="V30" s="249"/>
      <c r="W30" s="249"/>
      <c r="X30" s="249"/>
      <c r="Y30" s="247"/>
      <c r="Z30" s="245"/>
      <c r="AA30" s="249"/>
      <c r="AB30" s="249"/>
      <c r="AC30" s="249"/>
      <c r="AD30" s="247"/>
      <c r="AE30" s="202"/>
    </row>
    <row r="31" spans="1:31" x14ac:dyDescent="0.25">
      <c r="A31" s="606">
        <f t="shared" si="2"/>
        <v>23</v>
      </c>
      <c r="B31" s="617">
        <f t="shared" si="0"/>
        <v>37136.75</v>
      </c>
      <c r="C31" s="617" t="s">
        <v>106</v>
      </c>
      <c r="D31" s="617">
        <f t="shared" si="1"/>
        <v>38396.75</v>
      </c>
      <c r="E31" s="619">
        <f>E29+1</f>
        <v>12</v>
      </c>
      <c r="F31" s="617">
        <f>38248-1193.5+7*E31</f>
        <v>37138.5</v>
      </c>
      <c r="G31" s="620" t="s">
        <v>106</v>
      </c>
      <c r="H31" s="617">
        <f>38248+66.5+7*E31</f>
        <v>38398.5</v>
      </c>
      <c r="I31" s="619"/>
      <c r="J31" s="618"/>
      <c r="K31" s="620"/>
      <c r="L31" s="621"/>
      <c r="M31" s="619"/>
      <c r="N31" s="618"/>
      <c r="O31" s="618"/>
      <c r="P31" s="622"/>
      <c r="Q31" s="619"/>
      <c r="R31" s="624"/>
      <c r="S31" s="624"/>
      <c r="T31" s="622"/>
      <c r="U31" s="245"/>
      <c r="V31" s="249"/>
      <c r="W31" s="249"/>
      <c r="X31" s="249"/>
      <c r="Y31" s="247"/>
      <c r="Z31" s="245"/>
      <c r="AA31" s="249"/>
      <c r="AB31" s="249"/>
      <c r="AC31" s="249"/>
      <c r="AD31" s="247"/>
      <c r="AE31" s="202"/>
    </row>
    <row r="32" spans="1:31" x14ac:dyDescent="0.25">
      <c r="A32" s="606">
        <f t="shared" si="2"/>
        <v>24</v>
      </c>
      <c r="B32" s="617">
        <f t="shared" si="0"/>
        <v>37140.25</v>
      </c>
      <c r="C32" s="617" t="s">
        <v>106</v>
      </c>
      <c r="D32" s="617">
        <f t="shared" si="1"/>
        <v>38400.25</v>
      </c>
      <c r="E32" s="619"/>
      <c r="F32" s="618"/>
      <c r="G32" s="620"/>
      <c r="H32" s="622"/>
      <c r="I32" s="619"/>
      <c r="J32" s="618"/>
      <c r="K32" s="618"/>
      <c r="L32" s="622"/>
      <c r="M32" s="619"/>
      <c r="N32" s="618"/>
      <c r="O32" s="618"/>
      <c r="P32" s="622"/>
      <c r="Q32" s="619">
        <f>Q16+1</f>
        <v>2</v>
      </c>
      <c r="R32" s="617">
        <f>38248-1218+56*Q32</f>
        <v>37142</v>
      </c>
      <c r="S32" s="620" t="s">
        <v>106</v>
      </c>
      <c r="T32" s="617">
        <f>38248+42+56*Q32</f>
        <v>38402</v>
      </c>
      <c r="U32" s="178"/>
      <c r="V32" s="186"/>
      <c r="W32" s="186"/>
      <c r="X32" s="186"/>
      <c r="Y32" s="181"/>
      <c r="Z32" s="178"/>
      <c r="AA32" s="186"/>
      <c r="AB32" s="186"/>
      <c r="AC32" s="186"/>
      <c r="AD32" s="181"/>
      <c r="AE32" s="202"/>
    </row>
    <row r="33" spans="1:31" x14ac:dyDescent="0.25">
      <c r="A33" s="606">
        <f t="shared" si="2"/>
        <v>25</v>
      </c>
      <c r="B33" s="617">
        <f t="shared" si="0"/>
        <v>37143.75</v>
      </c>
      <c r="C33" s="617" t="s">
        <v>106</v>
      </c>
      <c r="D33" s="617">
        <f t="shared" si="1"/>
        <v>38403.75</v>
      </c>
      <c r="E33" s="619">
        <f>E31+1</f>
        <v>13</v>
      </c>
      <c r="F33" s="617">
        <f>38248-1193.5+7*E33</f>
        <v>37145.5</v>
      </c>
      <c r="G33" s="620" t="s">
        <v>106</v>
      </c>
      <c r="H33" s="617">
        <f>38248+66.5+7*E33</f>
        <v>38405.5</v>
      </c>
      <c r="I33" s="619"/>
      <c r="J33" s="618"/>
      <c r="K33" s="618"/>
      <c r="L33" s="622"/>
      <c r="M33" s="619"/>
      <c r="N33" s="618"/>
      <c r="O33" s="618"/>
      <c r="P33" s="622"/>
      <c r="Q33" s="619"/>
      <c r="R33" s="624"/>
      <c r="S33" s="624"/>
      <c r="T33" s="622"/>
      <c r="U33" s="245"/>
      <c r="V33" s="249"/>
      <c r="W33" s="249"/>
      <c r="X33" s="249"/>
      <c r="Y33" s="247"/>
      <c r="Z33" s="245"/>
      <c r="AA33" s="249"/>
      <c r="AB33" s="249"/>
      <c r="AC33" s="249"/>
      <c r="AD33" s="247"/>
      <c r="AE33" s="202"/>
    </row>
    <row r="34" spans="1:31" x14ac:dyDescent="0.25">
      <c r="A34" s="606">
        <f t="shared" si="2"/>
        <v>26</v>
      </c>
      <c r="B34" s="617">
        <f t="shared" si="0"/>
        <v>37147.25</v>
      </c>
      <c r="C34" s="617" t="s">
        <v>106</v>
      </c>
      <c r="D34" s="617">
        <f t="shared" si="1"/>
        <v>38407.25</v>
      </c>
      <c r="E34" s="619"/>
      <c r="F34" s="618"/>
      <c r="G34" s="620"/>
      <c r="H34" s="622"/>
      <c r="I34" s="619">
        <f>I30+1</f>
        <v>7</v>
      </c>
      <c r="J34" s="617">
        <f>38248-1197+14*I34</f>
        <v>37149</v>
      </c>
      <c r="K34" s="620" t="s">
        <v>106</v>
      </c>
      <c r="L34" s="617">
        <f>38248+63+14*I34</f>
        <v>38409</v>
      </c>
      <c r="M34" s="619"/>
      <c r="N34" s="618"/>
      <c r="O34" s="618"/>
      <c r="P34" s="622"/>
      <c r="Q34" s="619"/>
      <c r="R34" s="624"/>
      <c r="S34" s="624"/>
      <c r="T34" s="622"/>
      <c r="U34" s="245"/>
      <c r="V34" s="249"/>
      <c r="W34" s="249"/>
      <c r="X34" s="249"/>
      <c r="Y34" s="247"/>
      <c r="Z34" s="245"/>
      <c r="AA34" s="249"/>
      <c r="AB34" s="249"/>
      <c r="AC34" s="249"/>
      <c r="AD34" s="247"/>
      <c r="AE34" s="202"/>
    </row>
    <row r="35" spans="1:31" x14ac:dyDescent="0.25">
      <c r="A35" s="606">
        <f t="shared" si="2"/>
        <v>27</v>
      </c>
      <c r="B35" s="617">
        <f t="shared" si="0"/>
        <v>37150.75</v>
      </c>
      <c r="C35" s="617" t="s">
        <v>106</v>
      </c>
      <c r="D35" s="617">
        <f t="shared" si="1"/>
        <v>38410.75</v>
      </c>
      <c r="E35" s="619">
        <f>E33+1</f>
        <v>14</v>
      </c>
      <c r="F35" s="617">
        <f>38248-1193.5+7*E35</f>
        <v>37152.5</v>
      </c>
      <c r="G35" s="620" t="s">
        <v>106</v>
      </c>
      <c r="H35" s="617">
        <f>38248+66.5+7*E35</f>
        <v>38412.5</v>
      </c>
      <c r="I35" s="619"/>
      <c r="J35" s="618"/>
      <c r="K35" s="620"/>
      <c r="L35" s="621"/>
      <c r="M35" s="619"/>
      <c r="N35" s="618"/>
      <c r="O35" s="618"/>
      <c r="P35" s="622"/>
      <c r="Q35" s="619"/>
      <c r="R35" s="647"/>
      <c r="S35" s="624"/>
      <c r="T35" s="648"/>
      <c r="U35" s="245"/>
      <c r="V35" s="249"/>
      <c r="W35" s="249"/>
      <c r="X35" s="249"/>
      <c r="Y35" s="247"/>
      <c r="Z35" s="245"/>
      <c r="AA35" s="249"/>
      <c r="AB35" s="249"/>
      <c r="AC35" s="249"/>
      <c r="AD35" s="247"/>
      <c r="AE35" s="202"/>
    </row>
    <row r="36" spans="1:31" x14ac:dyDescent="0.25">
      <c r="A36" s="606">
        <f t="shared" si="2"/>
        <v>28</v>
      </c>
      <c r="B36" s="617">
        <f t="shared" si="0"/>
        <v>37154.25</v>
      </c>
      <c r="C36" s="617" t="s">
        <v>106</v>
      </c>
      <c r="D36" s="617">
        <f t="shared" si="1"/>
        <v>38414.25</v>
      </c>
      <c r="E36" s="619"/>
      <c r="F36" s="618"/>
      <c r="G36" s="620"/>
      <c r="H36" s="622"/>
      <c r="I36" s="619"/>
      <c r="J36" s="618"/>
      <c r="K36" s="618"/>
      <c r="L36" s="622"/>
      <c r="M36" s="619">
        <f>M28+1</f>
        <v>4</v>
      </c>
      <c r="N36" s="617">
        <f>38248-1204+28*M36</f>
        <v>37156</v>
      </c>
      <c r="O36" s="620" t="s">
        <v>106</v>
      </c>
      <c r="P36" s="617">
        <f>38248+56+28*M36</f>
        <v>38416</v>
      </c>
      <c r="Q36" s="619"/>
      <c r="R36" s="624"/>
      <c r="S36" s="624"/>
      <c r="T36" s="622"/>
      <c r="U36" s="245"/>
      <c r="V36" s="249"/>
      <c r="W36" s="249"/>
      <c r="X36" s="249"/>
      <c r="Y36" s="247"/>
      <c r="Z36" s="245"/>
      <c r="AA36" s="249"/>
      <c r="AB36" s="249"/>
      <c r="AC36" s="249"/>
      <c r="AD36" s="247"/>
      <c r="AE36" s="202"/>
    </row>
    <row r="37" spans="1:31" x14ac:dyDescent="0.25">
      <c r="A37" s="606">
        <f t="shared" si="2"/>
        <v>29</v>
      </c>
      <c r="B37" s="617">
        <f t="shared" si="0"/>
        <v>37157.75</v>
      </c>
      <c r="C37" s="617" t="s">
        <v>106</v>
      </c>
      <c r="D37" s="617">
        <f t="shared" si="1"/>
        <v>38417.75</v>
      </c>
      <c r="E37" s="619">
        <f>E35+1</f>
        <v>15</v>
      </c>
      <c r="F37" s="617">
        <f>38248-1193.5+7*E37</f>
        <v>37159.5</v>
      </c>
      <c r="G37" s="620" t="s">
        <v>106</v>
      </c>
      <c r="H37" s="617">
        <f>38248+66.5+7*E37</f>
        <v>38419.5</v>
      </c>
      <c r="I37" s="619"/>
      <c r="J37" s="618"/>
      <c r="K37" s="618"/>
      <c r="L37" s="622"/>
      <c r="M37" s="619"/>
      <c r="N37" s="618"/>
      <c r="O37" s="618"/>
      <c r="P37" s="622"/>
      <c r="Q37" s="619"/>
      <c r="R37" s="624"/>
      <c r="S37" s="624"/>
      <c r="T37" s="622"/>
      <c r="U37" s="245"/>
      <c r="V37" s="249"/>
      <c r="W37" s="249"/>
      <c r="X37" s="249"/>
      <c r="Y37" s="247"/>
      <c r="Z37" s="245"/>
      <c r="AA37" s="249"/>
      <c r="AB37" s="249"/>
      <c r="AC37" s="249"/>
      <c r="AD37" s="247"/>
      <c r="AE37" s="202"/>
    </row>
    <row r="38" spans="1:31" x14ac:dyDescent="0.25">
      <c r="A38" s="606">
        <f t="shared" si="2"/>
        <v>30</v>
      </c>
      <c r="B38" s="617">
        <f t="shared" si="0"/>
        <v>37161.25</v>
      </c>
      <c r="C38" s="617" t="s">
        <v>106</v>
      </c>
      <c r="D38" s="617">
        <f t="shared" si="1"/>
        <v>38421.25</v>
      </c>
      <c r="E38" s="619"/>
      <c r="F38" s="618"/>
      <c r="G38" s="620"/>
      <c r="H38" s="622"/>
      <c r="I38" s="619">
        <f>I34+1</f>
        <v>8</v>
      </c>
      <c r="J38" s="617">
        <f>38248-1197+14*I38</f>
        <v>37163</v>
      </c>
      <c r="K38" s="620" t="s">
        <v>106</v>
      </c>
      <c r="L38" s="617">
        <f>38248+63+14*I38</f>
        <v>38423</v>
      </c>
      <c r="M38" s="619"/>
      <c r="N38" s="618"/>
      <c r="O38" s="618"/>
      <c r="P38" s="622"/>
      <c r="Q38" s="619"/>
      <c r="R38" s="647"/>
      <c r="S38" s="647"/>
      <c r="T38" s="648"/>
      <c r="U38" s="245"/>
      <c r="V38" s="249"/>
      <c r="W38" s="249"/>
      <c r="X38" s="249"/>
      <c r="Y38" s="247"/>
      <c r="Z38" s="245"/>
      <c r="AA38" s="249"/>
      <c r="AB38" s="249"/>
      <c r="AC38" s="249"/>
      <c r="AD38" s="247"/>
      <c r="AE38" s="202"/>
    </row>
    <row r="39" spans="1:31" x14ac:dyDescent="0.25">
      <c r="A39" s="606">
        <f t="shared" si="2"/>
        <v>31</v>
      </c>
      <c r="B39" s="617">
        <f t="shared" si="0"/>
        <v>37164.75</v>
      </c>
      <c r="C39" s="617" t="s">
        <v>106</v>
      </c>
      <c r="D39" s="617">
        <f t="shared" si="1"/>
        <v>38424.75</v>
      </c>
      <c r="E39" s="619">
        <f>E37+1</f>
        <v>16</v>
      </c>
      <c r="F39" s="617">
        <f>38248-1193.5+7*E39</f>
        <v>37166.5</v>
      </c>
      <c r="G39" s="620" t="s">
        <v>106</v>
      </c>
      <c r="H39" s="617">
        <f>38248+66.5+7*E39</f>
        <v>38426.5</v>
      </c>
      <c r="I39" s="619"/>
      <c r="J39" s="618"/>
      <c r="K39" s="620"/>
      <c r="L39" s="621"/>
      <c r="M39" s="619"/>
      <c r="N39" s="618"/>
      <c r="O39" s="618"/>
      <c r="P39" s="622"/>
      <c r="Q39" s="619"/>
      <c r="R39" s="624"/>
      <c r="S39" s="624"/>
      <c r="T39" s="622"/>
      <c r="U39" s="245"/>
      <c r="V39" s="249"/>
      <c r="W39" s="249"/>
      <c r="X39" s="249"/>
      <c r="Y39" s="247"/>
      <c r="Z39" s="245"/>
      <c r="AA39" s="249"/>
      <c r="AB39" s="249"/>
      <c r="AC39" s="249"/>
      <c r="AD39" s="247"/>
      <c r="AE39" s="202"/>
    </row>
    <row r="40" spans="1:31" ht="15.75" thickBot="1" x14ac:dyDescent="0.3">
      <c r="A40" s="642">
        <f t="shared" si="2"/>
        <v>32</v>
      </c>
      <c r="B40" s="673">
        <f t="shared" si="0"/>
        <v>37168.25</v>
      </c>
      <c r="C40" s="673" t="s">
        <v>106</v>
      </c>
      <c r="D40" s="673">
        <f t="shared" si="1"/>
        <v>38428.25</v>
      </c>
      <c r="E40" s="645"/>
      <c r="F40" s="643"/>
      <c r="G40" s="644"/>
      <c r="H40" s="648"/>
      <c r="I40" s="645"/>
      <c r="J40" s="643"/>
      <c r="K40" s="643"/>
      <c r="L40" s="648"/>
      <c r="M40" s="645"/>
      <c r="N40" s="643"/>
      <c r="O40" s="643"/>
      <c r="P40" s="648"/>
      <c r="Q40" s="645"/>
      <c r="R40" s="647"/>
      <c r="S40" s="647"/>
      <c r="T40" s="648"/>
      <c r="U40" s="254"/>
      <c r="V40" s="250"/>
      <c r="W40" s="250"/>
      <c r="X40" s="250"/>
      <c r="Y40" s="251"/>
      <c r="Z40" s="645">
        <v>1</v>
      </c>
      <c r="AA40" s="624">
        <f>38248-1190+112*Z40</f>
        <v>37170</v>
      </c>
      <c r="AB40" s="624"/>
      <c r="AC40" s="624">
        <f>38248+70+112*Z40</f>
        <v>38430</v>
      </c>
      <c r="AD40" s="648"/>
      <c r="AE40" s="346"/>
    </row>
    <row r="41" spans="1:31" ht="15.75" thickTop="1" x14ac:dyDescent="0.25">
      <c r="A41" s="721">
        <f t="shared" si="2"/>
        <v>33</v>
      </c>
      <c r="B41" s="655">
        <f t="shared" si="0"/>
        <v>37171.75</v>
      </c>
      <c r="C41" s="655" t="s">
        <v>106</v>
      </c>
      <c r="D41" s="655">
        <f t="shared" si="1"/>
        <v>38431.75</v>
      </c>
      <c r="E41" s="657">
        <f>E39+1</f>
        <v>17</v>
      </c>
      <c r="F41" s="655">
        <f>38248-1193.5+7*E41</f>
        <v>37173.5</v>
      </c>
      <c r="G41" s="722" t="s">
        <v>106</v>
      </c>
      <c r="H41" s="655">
        <f>38248+66.5+7*E41</f>
        <v>38433.5</v>
      </c>
      <c r="I41" s="657"/>
      <c r="J41" s="655"/>
      <c r="K41" s="655"/>
      <c r="L41" s="656"/>
      <c r="M41" s="657"/>
      <c r="N41" s="655"/>
      <c r="O41" s="655"/>
      <c r="P41" s="656"/>
      <c r="Q41" s="657"/>
      <c r="R41" s="660"/>
      <c r="S41" s="660"/>
      <c r="T41" s="656"/>
      <c r="U41" s="657"/>
      <c r="V41" s="660"/>
      <c r="W41" s="660"/>
      <c r="X41" s="660"/>
      <c r="Y41" s="656"/>
      <c r="Z41" s="657"/>
      <c r="AA41" s="660"/>
      <c r="AB41" s="660"/>
      <c r="AC41" s="660"/>
      <c r="AD41" s="656"/>
      <c r="AE41" s="662"/>
    </row>
    <row r="42" spans="1:31" x14ac:dyDescent="0.25">
      <c r="A42" s="606">
        <f t="shared" si="2"/>
        <v>34</v>
      </c>
      <c r="B42" s="617">
        <f t="shared" si="0"/>
        <v>37175.25</v>
      </c>
      <c r="C42" s="617" t="s">
        <v>106</v>
      </c>
      <c r="D42" s="617">
        <f t="shared" si="1"/>
        <v>38435.25</v>
      </c>
      <c r="E42" s="619"/>
      <c r="F42" s="618"/>
      <c r="G42" s="620"/>
      <c r="H42" s="622"/>
      <c r="I42" s="619">
        <f>I38+1</f>
        <v>9</v>
      </c>
      <c r="J42" s="617">
        <f>38248-1197+14*I42</f>
        <v>37177</v>
      </c>
      <c r="K42" s="620" t="s">
        <v>106</v>
      </c>
      <c r="L42" s="617">
        <f>38248+63+14*I42</f>
        <v>38437</v>
      </c>
      <c r="M42" s="619"/>
      <c r="N42" s="618"/>
      <c r="O42" s="618"/>
      <c r="P42" s="622"/>
      <c r="Q42" s="619"/>
      <c r="R42" s="624"/>
      <c r="S42" s="624"/>
      <c r="T42" s="622"/>
      <c r="U42" s="619"/>
      <c r="V42" s="624"/>
      <c r="W42" s="624"/>
      <c r="X42" s="624"/>
      <c r="Y42" s="622"/>
      <c r="Z42" s="619"/>
      <c r="AA42" s="624"/>
      <c r="AB42" s="624"/>
      <c r="AC42" s="624"/>
      <c r="AD42" s="622"/>
      <c r="AE42" s="636"/>
    </row>
    <row r="43" spans="1:31" x14ac:dyDescent="0.25">
      <c r="A43" s="606">
        <f t="shared" si="2"/>
        <v>35</v>
      </c>
      <c r="B43" s="617">
        <f t="shared" si="0"/>
        <v>37178.75</v>
      </c>
      <c r="C43" s="617" t="s">
        <v>106</v>
      </c>
      <c r="D43" s="617">
        <f t="shared" si="1"/>
        <v>38438.75</v>
      </c>
      <c r="E43" s="619">
        <f>E41+1</f>
        <v>18</v>
      </c>
      <c r="F43" s="617">
        <f>38248-1193.5+7*E43</f>
        <v>37180.5</v>
      </c>
      <c r="G43" s="620" t="s">
        <v>106</v>
      </c>
      <c r="H43" s="617">
        <f>38248+66.5+7*E43</f>
        <v>38440.5</v>
      </c>
      <c r="I43" s="619"/>
      <c r="J43" s="618"/>
      <c r="K43" s="620"/>
      <c r="L43" s="621"/>
      <c r="M43" s="619"/>
      <c r="N43" s="618"/>
      <c r="O43" s="618"/>
      <c r="P43" s="622"/>
      <c r="Q43" s="619"/>
      <c r="R43" s="624"/>
      <c r="S43" s="624"/>
      <c r="T43" s="622"/>
      <c r="U43" s="619"/>
      <c r="V43" s="624"/>
      <c r="W43" s="624"/>
      <c r="X43" s="624"/>
      <c r="Y43" s="622"/>
      <c r="Z43" s="619"/>
      <c r="AA43" s="624"/>
      <c r="AB43" s="624"/>
      <c r="AC43" s="624"/>
      <c r="AD43" s="622"/>
      <c r="AE43" s="636"/>
    </row>
    <row r="44" spans="1:31" x14ac:dyDescent="0.25">
      <c r="A44" s="606">
        <f t="shared" si="2"/>
        <v>36</v>
      </c>
      <c r="B44" s="617">
        <f t="shared" si="0"/>
        <v>37182.25</v>
      </c>
      <c r="C44" s="617" t="s">
        <v>106</v>
      </c>
      <c r="D44" s="617">
        <f t="shared" si="1"/>
        <v>38442.25</v>
      </c>
      <c r="E44" s="619"/>
      <c r="F44" s="618"/>
      <c r="G44" s="620"/>
      <c r="H44" s="622"/>
      <c r="I44" s="619"/>
      <c r="J44" s="618"/>
      <c r="K44" s="618"/>
      <c r="L44" s="622"/>
      <c r="M44" s="619">
        <f>M36+1</f>
        <v>5</v>
      </c>
      <c r="N44" s="617">
        <f>38248-1204+28*M44</f>
        <v>37184</v>
      </c>
      <c r="O44" s="620" t="s">
        <v>106</v>
      </c>
      <c r="P44" s="617">
        <f>38248+56+28*M44</f>
        <v>38444</v>
      </c>
      <c r="Q44" s="619"/>
      <c r="R44" s="618"/>
      <c r="S44" s="620"/>
      <c r="T44" s="621"/>
      <c r="U44" s="619"/>
      <c r="V44" s="624"/>
      <c r="W44" s="624"/>
      <c r="X44" s="624"/>
      <c r="Y44" s="622"/>
      <c r="Z44" s="619"/>
      <c r="AA44" s="624"/>
      <c r="AB44" s="624"/>
      <c r="AC44" s="624"/>
      <c r="AD44" s="622"/>
      <c r="AE44" s="636"/>
    </row>
    <row r="45" spans="1:31" x14ac:dyDescent="0.25">
      <c r="A45" s="606">
        <f t="shared" si="2"/>
        <v>37</v>
      </c>
      <c r="B45" s="617">
        <f t="shared" si="0"/>
        <v>37185.75</v>
      </c>
      <c r="C45" s="617" t="s">
        <v>106</v>
      </c>
      <c r="D45" s="617">
        <f t="shared" si="1"/>
        <v>38445.75</v>
      </c>
      <c r="E45" s="619">
        <f>E43+1</f>
        <v>19</v>
      </c>
      <c r="F45" s="617">
        <f>38248-1193.5+7*E45</f>
        <v>37187.5</v>
      </c>
      <c r="G45" s="620" t="s">
        <v>106</v>
      </c>
      <c r="H45" s="617">
        <f>38248+66.5+7*E45</f>
        <v>38447.5</v>
      </c>
      <c r="I45" s="619"/>
      <c r="J45" s="618"/>
      <c r="K45" s="618"/>
      <c r="L45" s="622"/>
      <c r="M45" s="619"/>
      <c r="N45" s="618"/>
      <c r="O45" s="618"/>
      <c r="P45" s="622"/>
      <c r="Q45" s="619"/>
      <c r="R45" s="624"/>
      <c r="S45" s="624"/>
      <c r="T45" s="622"/>
      <c r="U45" s="619"/>
      <c r="V45" s="624"/>
      <c r="W45" s="624"/>
      <c r="X45" s="624"/>
      <c r="Y45" s="622"/>
      <c r="Z45" s="619"/>
      <c r="AA45" s="624"/>
      <c r="AB45" s="624"/>
      <c r="AC45" s="624"/>
      <c r="AD45" s="622"/>
      <c r="AE45" s="636"/>
    </row>
    <row r="46" spans="1:31" x14ac:dyDescent="0.25">
      <c r="A46" s="606">
        <f t="shared" si="2"/>
        <v>38</v>
      </c>
      <c r="B46" s="617">
        <f t="shared" si="0"/>
        <v>37189.25</v>
      </c>
      <c r="C46" s="617" t="s">
        <v>106</v>
      </c>
      <c r="D46" s="617">
        <f t="shared" si="1"/>
        <v>38449.25</v>
      </c>
      <c r="E46" s="619"/>
      <c r="F46" s="618"/>
      <c r="G46" s="620"/>
      <c r="H46" s="622"/>
      <c r="I46" s="619">
        <f>I42+1</f>
        <v>10</v>
      </c>
      <c r="J46" s="617">
        <f>38248-1197+14*I46</f>
        <v>37191</v>
      </c>
      <c r="K46" s="620" t="s">
        <v>106</v>
      </c>
      <c r="L46" s="617">
        <f>38248+63+14*I46</f>
        <v>38451</v>
      </c>
      <c r="M46" s="619"/>
      <c r="N46" s="618"/>
      <c r="O46" s="618"/>
      <c r="P46" s="622"/>
      <c r="Q46" s="619"/>
      <c r="R46" s="624"/>
      <c r="S46" s="624"/>
      <c r="T46" s="622"/>
      <c r="U46" s="619"/>
      <c r="V46" s="624"/>
      <c r="W46" s="624"/>
      <c r="X46" s="624"/>
      <c r="Y46" s="622"/>
      <c r="Z46" s="619"/>
      <c r="AA46" s="624"/>
      <c r="AB46" s="624"/>
      <c r="AC46" s="624"/>
      <c r="AD46" s="622"/>
      <c r="AE46" s="636"/>
    </row>
    <row r="47" spans="1:31" x14ac:dyDescent="0.25">
      <c r="A47" s="606">
        <f t="shared" si="2"/>
        <v>39</v>
      </c>
      <c r="B47" s="617">
        <f t="shared" si="0"/>
        <v>37192.75</v>
      </c>
      <c r="C47" s="617" t="s">
        <v>106</v>
      </c>
      <c r="D47" s="617">
        <f t="shared" si="1"/>
        <v>38452.75</v>
      </c>
      <c r="E47" s="619">
        <f>E45+1</f>
        <v>20</v>
      </c>
      <c r="F47" s="617">
        <f>38248-1193.5+7*E47</f>
        <v>37194.5</v>
      </c>
      <c r="G47" s="620" t="s">
        <v>106</v>
      </c>
      <c r="H47" s="617">
        <f>38248+66.5+7*E47</f>
        <v>38454.5</v>
      </c>
      <c r="I47" s="619"/>
      <c r="J47" s="618"/>
      <c r="K47" s="620"/>
      <c r="L47" s="621"/>
      <c r="M47" s="619"/>
      <c r="N47" s="618"/>
      <c r="O47" s="618"/>
      <c r="P47" s="622"/>
      <c r="Q47" s="619"/>
      <c r="R47" s="624"/>
      <c r="S47" s="624"/>
      <c r="T47" s="622"/>
      <c r="U47" s="619"/>
      <c r="V47" s="624"/>
      <c r="W47" s="624"/>
      <c r="X47" s="624"/>
      <c r="Y47" s="622"/>
      <c r="Z47" s="619"/>
      <c r="AA47" s="624"/>
      <c r="AB47" s="624"/>
      <c r="AC47" s="624"/>
      <c r="AD47" s="622"/>
      <c r="AE47" s="698"/>
    </row>
    <row r="48" spans="1:31" x14ac:dyDescent="0.25">
      <c r="A48" s="606">
        <f t="shared" si="2"/>
        <v>40</v>
      </c>
      <c r="B48" s="617">
        <f t="shared" si="0"/>
        <v>37196.25</v>
      </c>
      <c r="C48" s="617" t="s">
        <v>106</v>
      </c>
      <c r="D48" s="617">
        <f t="shared" si="1"/>
        <v>38456.25</v>
      </c>
      <c r="E48" s="619"/>
      <c r="F48" s="618"/>
      <c r="G48" s="620"/>
      <c r="H48" s="622"/>
      <c r="I48" s="619"/>
      <c r="J48" s="618"/>
      <c r="K48" s="618"/>
      <c r="L48" s="622"/>
      <c r="M48" s="619"/>
      <c r="N48" s="618"/>
      <c r="O48" s="618"/>
      <c r="P48" s="622"/>
      <c r="Q48" s="619">
        <f>Q32+1</f>
        <v>3</v>
      </c>
      <c r="R48" s="617">
        <f>38248-1218+56*Q48</f>
        <v>37198</v>
      </c>
      <c r="S48" s="620" t="s">
        <v>106</v>
      </c>
      <c r="T48" s="617">
        <f>38248+42+56*Q48</f>
        <v>38458</v>
      </c>
      <c r="U48" s="619"/>
      <c r="V48" s="624"/>
      <c r="W48" s="624"/>
      <c r="X48" s="624"/>
      <c r="Y48" s="622"/>
      <c r="Z48" s="619"/>
      <c r="AA48" s="624"/>
      <c r="AB48" s="624"/>
      <c r="AC48" s="624"/>
      <c r="AD48" s="622"/>
      <c r="AE48" s="679" t="s">
        <v>156</v>
      </c>
    </row>
    <row r="49" spans="1:31" x14ac:dyDescent="0.25">
      <c r="A49" s="606">
        <f t="shared" si="2"/>
        <v>41</v>
      </c>
      <c r="B49" s="617">
        <f t="shared" si="0"/>
        <v>37199.75</v>
      </c>
      <c r="C49" s="617" t="s">
        <v>106</v>
      </c>
      <c r="D49" s="617">
        <f t="shared" si="1"/>
        <v>38459.75</v>
      </c>
      <c r="E49" s="619">
        <f>E47+1</f>
        <v>21</v>
      </c>
      <c r="F49" s="617">
        <f>38248-1193.5+7*E49</f>
        <v>37201.5</v>
      </c>
      <c r="G49" s="620" t="s">
        <v>106</v>
      </c>
      <c r="H49" s="617">
        <f>38248+66.5+7*E49</f>
        <v>38461.5</v>
      </c>
      <c r="I49" s="619"/>
      <c r="J49" s="618"/>
      <c r="K49" s="618"/>
      <c r="L49" s="622"/>
      <c r="M49" s="619"/>
      <c r="N49" s="618"/>
      <c r="O49" s="618"/>
      <c r="P49" s="622"/>
      <c r="Q49" s="619"/>
      <c r="R49" s="624"/>
      <c r="S49" s="624"/>
      <c r="T49" s="622"/>
      <c r="U49" s="619"/>
      <c r="V49" s="624"/>
      <c r="W49" s="624"/>
      <c r="X49" s="624"/>
      <c r="Y49" s="622"/>
      <c r="Z49" s="619"/>
      <c r="AA49" s="624"/>
      <c r="AB49" s="624"/>
      <c r="AC49" s="624"/>
      <c r="AD49" s="622"/>
      <c r="AE49" s="636"/>
    </row>
    <row r="50" spans="1:31" x14ac:dyDescent="0.25">
      <c r="A50" s="606">
        <f t="shared" si="2"/>
        <v>42</v>
      </c>
      <c r="B50" s="617">
        <f t="shared" si="0"/>
        <v>37203.25</v>
      </c>
      <c r="C50" s="617" t="s">
        <v>106</v>
      </c>
      <c r="D50" s="617">
        <f t="shared" si="1"/>
        <v>38463.25</v>
      </c>
      <c r="E50" s="619"/>
      <c r="F50" s="618"/>
      <c r="G50" s="620"/>
      <c r="H50" s="622"/>
      <c r="I50" s="619">
        <f>I46+1</f>
        <v>11</v>
      </c>
      <c r="J50" s="617">
        <f>38248-1197+14*I50</f>
        <v>37205</v>
      </c>
      <c r="K50" s="620" t="s">
        <v>106</v>
      </c>
      <c r="L50" s="617">
        <f>38248+63+14*I50</f>
        <v>38465</v>
      </c>
      <c r="M50" s="619"/>
      <c r="N50" s="618"/>
      <c r="O50" s="618"/>
      <c r="P50" s="622"/>
      <c r="Q50" s="619"/>
      <c r="R50" s="624"/>
      <c r="S50" s="624"/>
      <c r="T50" s="622"/>
      <c r="U50" s="619"/>
      <c r="V50" s="624"/>
      <c r="W50" s="624"/>
      <c r="X50" s="624"/>
      <c r="Y50" s="622"/>
      <c r="Z50" s="619"/>
      <c r="AA50" s="624"/>
      <c r="AB50" s="624"/>
      <c r="AC50" s="624"/>
      <c r="AD50" s="622"/>
      <c r="AE50" s="636"/>
    </row>
    <row r="51" spans="1:31" x14ac:dyDescent="0.25">
      <c r="A51" s="606">
        <f t="shared" si="2"/>
        <v>43</v>
      </c>
      <c r="B51" s="617">
        <f t="shared" si="0"/>
        <v>37206.75</v>
      </c>
      <c r="C51" s="617" t="s">
        <v>106</v>
      </c>
      <c r="D51" s="617">
        <f t="shared" si="1"/>
        <v>38466.75</v>
      </c>
      <c r="E51" s="619">
        <f>E49+1</f>
        <v>22</v>
      </c>
      <c r="F51" s="617">
        <f>38248-1193.5+7*E51</f>
        <v>37208.5</v>
      </c>
      <c r="G51" s="620" t="s">
        <v>106</v>
      </c>
      <c r="H51" s="617">
        <f>38248+66.5+7*E51</f>
        <v>38468.5</v>
      </c>
      <c r="I51" s="619"/>
      <c r="J51" s="618"/>
      <c r="K51" s="620"/>
      <c r="L51" s="621"/>
      <c r="M51" s="619"/>
      <c r="N51" s="618"/>
      <c r="O51" s="618"/>
      <c r="P51" s="622"/>
      <c r="Q51" s="619"/>
      <c r="R51" s="647"/>
      <c r="S51" s="624"/>
      <c r="T51" s="648"/>
      <c r="U51" s="619"/>
      <c r="V51" s="624"/>
      <c r="W51" s="624"/>
      <c r="X51" s="624"/>
      <c r="Y51" s="622"/>
      <c r="Z51" s="619"/>
      <c r="AA51" s="624"/>
      <c r="AB51" s="624"/>
      <c r="AC51" s="624"/>
      <c r="AD51" s="622"/>
      <c r="AE51" s="636"/>
    </row>
    <row r="52" spans="1:31" x14ac:dyDescent="0.25">
      <c r="A52" s="606">
        <f t="shared" si="2"/>
        <v>44</v>
      </c>
      <c r="B52" s="617">
        <f t="shared" si="0"/>
        <v>37210.25</v>
      </c>
      <c r="C52" s="617" t="s">
        <v>106</v>
      </c>
      <c r="D52" s="617">
        <f t="shared" si="1"/>
        <v>38470.25</v>
      </c>
      <c r="E52" s="619"/>
      <c r="F52" s="618"/>
      <c r="G52" s="620"/>
      <c r="H52" s="622"/>
      <c r="I52" s="619"/>
      <c r="J52" s="618"/>
      <c r="K52" s="618"/>
      <c r="L52" s="622"/>
      <c r="M52" s="619">
        <f>M44+1</f>
        <v>6</v>
      </c>
      <c r="N52" s="617">
        <f>38248-1204+28*M52</f>
        <v>37212</v>
      </c>
      <c r="O52" s="620" t="s">
        <v>106</v>
      </c>
      <c r="P52" s="617">
        <f>38248+56+28*M52</f>
        <v>38472</v>
      </c>
      <c r="Q52" s="619"/>
      <c r="R52" s="624"/>
      <c r="S52" s="624"/>
      <c r="T52" s="622"/>
      <c r="U52" s="619"/>
      <c r="V52" s="624"/>
      <c r="W52" s="624"/>
      <c r="X52" s="624"/>
      <c r="Y52" s="622"/>
      <c r="Z52" s="619"/>
      <c r="AA52" s="624"/>
      <c r="AB52" s="624"/>
      <c r="AC52" s="624"/>
      <c r="AD52" s="622"/>
      <c r="AE52" s="636"/>
    </row>
    <row r="53" spans="1:31" x14ac:dyDescent="0.25">
      <c r="A53" s="606">
        <f t="shared" si="2"/>
        <v>45</v>
      </c>
      <c r="B53" s="617">
        <f t="shared" si="0"/>
        <v>37213.75</v>
      </c>
      <c r="C53" s="617" t="s">
        <v>106</v>
      </c>
      <c r="D53" s="617">
        <f t="shared" si="1"/>
        <v>38473.75</v>
      </c>
      <c r="E53" s="619">
        <f>E51+1</f>
        <v>23</v>
      </c>
      <c r="F53" s="617">
        <f>38248-1193.5+7*E53</f>
        <v>37215.5</v>
      </c>
      <c r="G53" s="620" t="s">
        <v>106</v>
      </c>
      <c r="H53" s="617">
        <f>38248+66.5+7*E53</f>
        <v>38475.5</v>
      </c>
      <c r="I53" s="619"/>
      <c r="J53" s="618"/>
      <c r="K53" s="618"/>
      <c r="L53" s="622"/>
      <c r="M53" s="619"/>
      <c r="N53" s="618"/>
      <c r="O53" s="618"/>
      <c r="P53" s="622"/>
      <c r="Q53" s="619"/>
      <c r="R53" s="624"/>
      <c r="S53" s="624"/>
      <c r="T53" s="622"/>
      <c r="U53" s="619"/>
      <c r="V53" s="624"/>
      <c r="W53" s="624"/>
      <c r="X53" s="624"/>
      <c r="Y53" s="622"/>
      <c r="Z53" s="619"/>
      <c r="AA53" s="624"/>
      <c r="AB53" s="624"/>
      <c r="AC53" s="624"/>
      <c r="AD53" s="622"/>
      <c r="AE53" s="636"/>
    </row>
    <row r="54" spans="1:31" x14ac:dyDescent="0.25">
      <c r="A54" s="606">
        <f t="shared" si="2"/>
        <v>46</v>
      </c>
      <c r="B54" s="617">
        <f t="shared" si="0"/>
        <v>37217.25</v>
      </c>
      <c r="C54" s="617" t="s">
        <v>106</v>
      </c>
      <c r="D54" s="617">
        <f t="shared" si="1"/>
        <v>38477.25</v>
      </c>
      <c r="E54" s="619"/>
      <c r="F54" s="618"/>
      <c r="G54" s="620"/>
      <c r="H54" s="622"/>
      <c r="I54" s="619">
        <f>I50+1</f>
        <v>12</v>
      </c>
      <c r="J54" s="617">
        <f>38248-1197+14*I54</f>
        <v>37219</v>
      </c>
      <c r="K54" s="620" t="s">
        <v>106</v>
      </c>
      <c r="L54" s="617">
        <f>38248+63+14*I54</f>
        <v>38479</v>
      </c>
      <c r="M54" s="619"/>
      <c r="N54" s="618"/>
      <c r="O54" s="618"/>
      <c r="P54" s="622"/>
      <c r="Q54" s="619"/>
      <c r="R54" s="647"/>
      <c r="S54" s="647"/>
      <c r="T54" s="648"/>
      <c r="U54" s="619"/>
      <c r="V54" s="624"/>
      <c r="W54" s="624"/>
      <c r="X54" s="624"/>
      <c r="Y54" s="622"/>
      <c r="Z54" s="619"/>
      <c r="AA54" s="624"/>
      <c r="AB54" s="624"/>
      <c r="AC54" s="624"/>
      <c r="AD54" s="622"/>
      <c r="AE54" s="636"/>
    </row>
    <row r="55" spans="1:31" x14ac:dyDescent="0.25">
      <c r="A55" s="606">
        <f t="shared" si="2"/>
        <v>47</v>
      </c>
      <c r="B55" s="617">
        <f t="shared" si="0"/>
        <v>37220.75</v>
      </c>
      <c r="C55" s="617" t="s">
        <v>106</v>
      </c>
      <c r="D55" s="617">
        <f t="shared" si="1"/>
        <v>38480.75</v>
      </c>
      <c r="E55" s="619">
        <f>E53+1</f>
        <v>24</v>
      </c>
      <c r="F55" s="617">
        <f>38248-1193.5+7*E55</f>
        <v>37222.5</v>
      </c>
      <c r="G55" s="620" t="s">
        <v>106</v>
      </c>
      <c r="H55" s="617">
        <f>38248+66.5+7*E55</f>
        <v>38482.5</v>
      </c>
      <c r="I55" s="619"/>
      <c r="J55" s="618"/>
      <c r="K55" s="620"/>
      <c r="L55" s="621"/>
      <c r="M55" s="619"/>
      <c r="N55" s="618"/>
      <c r="O55" s="618"/>
      <c r="P55" s="622"/>
      <c r="Q55" s="619"/>
      <c r="R55" s="624"/>
      <c r="S55" s="624"/>
      <c r="T55" s="622"/>
      <c r="U55" s="619"/>
      <c r="V55" s="624"/>
      <c r="W55" s="624"/>
      <c r="X55" s="624"/>
      <c r="Y55" s="622"/>
      <c r="Z55" s="619"/>
      <c r="AA55" s="624"/>
      <c r="AB55" s="624"/>
      <c r="AC55" s="624"/>
      <c r="AD55" s="622"/>
      <c r="AE55" s="636"/>
    </row>
    <row r="56" spans="1:31" ht="15.75" thickBot="1" x14ac:dyDescent="0.3">
      <c r="A56" s="642">
        <f t="shared" si="2"/>
        <v>48</v>
      </c>
      <c r="B56" s="673">
        <f t="shared" si="0"/>
        <v>37224.25</v>
      </c>
      <c r="C56" s="673" t="s">
        <v>106</v>
      </c>
      <c r="D56" s="673">
        <f t="shared" si="1"/>
        <v>38484.25</v>
      </c>
      <c r="E56" s="645"/>
      <c r="F56" s="643"/>
      <c r="G56" s="644"/>
      <c r="H56" s="648"/>
      <c r="I56" s="645"/>
      <c r="J56" s="643"/>
      <c r="K56" s="643"/>
      <c r="L56" s="648"/>
      <c r="M56" s="645"/>
      <c r="N56" s="643"/>
      <c r="O56" s="643"/>
      <c r="P56" s="648"/>
      <c r="Q56" s="645"/>
      <c r="R56" s="647"/>
      <c r="S56" s="647"/>
      <c r="T56" s="648"/>
      <c r="U56" s="609">
        <f>U24+1</f>
        <v>2</v>
      </c>
      <c r="V56" s="617">
        <f>38248-1246+112*U56</f>
        <v>37226</v>
      </c>
      <c r="W56" s="717" t="s">
        <v>106</v>
      </c>
      <c r="X56" s="617">
        <f>38248+14+112*U56</f>
        <v>38486</v>
      </c>
      <c r="Y56" s="611"/>
      <c r="Z56" s="609"/>
      <c r="AA56" s="617"/>
      <c r="AB56" s="717"/>
      <c r="AC56" s="617"/>
      <c r="AD56" s="611"/>
      <c r="AE56" s="648"/>
    </row>
    <row r="57" spans="1:31" ht="15.75" thickTop="1" x14ac:dyDescent="0.25">
      <c r="A57" s="347">
        <f t="shared" si="2"/>
        <v>49</v>
      </c>
      <c r="B57" s="298">
        <f t="shared" si="0"/>
        <v>37227.75</v>
      </c>
      <c r="C57" s="298" t="s">
        <v>106</v>
      </c>
      <c r="D57" s="298">
        <f t="shared" si="1"/>
        <v>38487.75</v>
      </c>
      <c r="E57" s="326">
        <f>E55+1</f>
        <v>25</v>
      </c>
      <c r="F57" s="298">
        <f>38248-1193.5+7*E57</f>
        <v>37229.5</v>
      </c>
      <c r="G57" s="349" t="s">
        <v>106</v>
      </c>
      <c r="H57" s="298">
        <f>38248+66.5+7*E57</f>
        <v>38489.5</v>
      </c>
      <c r="I57" s="326"/>
      <c r="J57" s="298"/>
      <c r="K57" s="298"/>
      <c r="L57" s="325"/>
      <c r="M57" s="326"/>
      <c r="N57" s="298"/>
      <c r="O57" s="298"/>
      <c r="P57" s="325"/>
      <c r="Q57" s="326"/>
      <c r="R57" s="348"/>
      <c r="S57" s="348"/>
      <c r="T57" s="325"/>
      <c r="U57" s="350"/>
      <c r="V57" s="351"/>
      <c r="W57" s="351"/>
      <c r="X57" s="351"/>
      <c r="Y57" s="352"/>
      <c r="Z57" s="350"/>
      <c r="AA57" s="351"/>
      <c r="AB57" s="351"/>
      <c r="AC57" s="351"/>
      <c r="AD57" s="352"/>
      <c r="AE57" s="328"/>
    </row>
    <row r="58" spans="1:31" x14ac:dyDescent="0.25">
      <c r="A58" s="189">
        <f t="shared" si="2"/>
        <v>50</v>
      </c>
      <c r="B58" s="112">
        <f t="shared" si="0"/>
        <v>37231.25</v>
      </c>
      <c r="C58" s="112" t="s">
        <v>106</v>
      </c>
      <c r="D58" s="112">
        <f t="shared" si="1"/>
        <v>38491.25</v>
      </c>
      <c r="E58" s="245"/>
      <c r="F58" s="58"/>
      <c r="G58" s="55"/>
      <c r="H58" s="247"/>
      <c r="I58" s="245">
        <f>I54+1</f>
        <v>13</v>
      </c>
      <c r="J58" s="112">
        <f>38248-1197+14*I58</f>
        <v>37233</v>
      </c>
      <c r="K58" s="55" t="s">
        <v>106</v>
      </c>
      <c r="L58" s="112">
        <f>38248+63+14*I58</f>
        <v>38493</v>
      </c>
      <c r="M58" s="245"/>
      <c r="N58" s="58"/>
      <c r="O58" s="58"/>
      <c r="P58" s="247"/>
      <c r="Q58" s="245"/>
      <c r="R58" s="249"/>
      <c r="S58" s="249"/>
      <c r="T58" s="247"/>
      <c r="U58" s="353"/>
      <c r="V58" s="354"/>
      <c r="W58" s="354"/>
      <c r="X58" s="354"/>
      <c r="Y58" s="355"/>
      <c r="Z58" s="353"/>
      <c r="AA58" s="354"/>
      <c r="AB58" s="354"/>
      <c r="AC58" s="354"/>
      <c r="AD58" s="355"/>
      <c r="AE58" s="636" t="s">
        <v>230</v>
      </c>
    </row>
    <row r="59" spans="1:31" x14ac:dyDescent="0.25">
      <c r="A59" s="189">
        <f t="shared" si="2"/>
        <v>51</v>
      </c>
      <c r="B59" s="112">
        <f t="shared" si="0"/>
        <v>37234.75</v>
      </c>
      <c r="C59" s="112" t="s">
        <v>106</v>
      </c>
      <c r="D59" s="112">
        <f t="shared" si="1"/>
        <v>38494.75</v>
      </c>
      <c r="E59" s="245">
        <f>E57+1</f>
        <v>26</v>
      </c>
      <c r="F59" s="112">
        <f>38248-1193.5+7*E59</f>
        <v>37236.5</v>
      </c>
      <c r="G59" s="55" t="s">
        <v>106</v>
      </c>
      <c r="H59" s="112">
        <f>38248+66.5+7*E59</f>
        <v>38496.5</v>
      </c>
      <c r="I59" s="245"/>
      <c r="J59" s="58"/>
      <c r="K59" s="55"/>
      <c r="L59" s="246"/>
      <c r="M59" s="245"/>
      <c r="N59" s="58"/>
      <c r="O59" s="58"/>
      <c r="P59" s="247"/>
      <c r="Q59" s="245"/>
      <c r="R59" s="249"/>
      <c r="S59" s="249"/>
      <c r="T59" s="247"/>
      <c r="U59" s="353"/>
      <c r="V59" s="354"/>
      <c r="W59" s="354"/>
      <c r="X59" s="354"/>
      <c r="Y59" s="355"/>
      <c r="Z59" s="353"/>
      <c r="AA59" s="354"/>
      <c r="AB59" s="354"/>
      <c r="AC59" s="354"/>
      <c r="AD59" s="355"/>
      <c r="AE59" s="636"/>
    </row>
    <row r="60" spans="1:31" x14ac:dyDescent="0.25">
      <c r="A60" s="189">
        <f t="shared" si="2"/>
        <v>52</v>
      </c>
      <c r="B60" s="112">
        <f t="shared" si="0"/>
        <v>37238.25</v>
      </c>
      <c r="C60" s="112" t="s">
        <v>106</v>
      </c>
      <c r="D60" s="112">
        <f t="shared" si="1"/>
        <v>38498.25</v>
      </c>
      <c r="E60" s="245"/>
      <c r="F60" s="58"/>
      <c r="G60" s="55"/>
      <c r="H60" s="247"/>
      <c r="I60" s="245"/>
      <c r="J60" s="58"/>
      <c r="K60" s="58"/>
      <c r="L60" s="247"/>
      <c r="M60" s="245">
        <f>M52+1</f>
        <v>7</v>
      </c>
      <c r="N60" s="112">
        <f>38248-1204+28*M60</f>
        <v>37240</v>
      </c>
      <c r="O60" s="55" t="s">
        <v>106</v>
      </c>
      <c r="P60" s="112">
        <f>38248+56+28*M60</f>
        <v>38500</v>
      </c>
      <c r="Q60" s="245"/>
      <c r="R60" s="58"/>
      <c r="S60" s="55"/>
      <c r="T60" s="246"/>
      <c r="U60" s="353"/>
      <c r="V60" s="356"/>
      <c r="W60" s="357"/>
      <c r="X60" s="357"/>
      <c r="Y60" s="358"/>
      <c r="Z60" s="353"/>
      <c r="AA60" s="356"/>
      <c r="AB60" s="357"/>
      <c r="AC60" s="357"/>
      <c r="AD60" s="358"/>
      <c r="AE60" s="636"/>
    </row>
    <row r="61" spans="1:31" x14ac:dyDescent="0.25">
      <c r="A61" s="189">
        <f t="shared" si="2"/>
        <v>53</v>
      </c>
      <c r="B61" s="112">
        <f t="shared" si="0"/>
        <v>37241.75</v>
      </c>
      <c r="C61" s="112" t="s">
        <v>106</v>
      </c>
      <c r="D61" s="112">
        <f t="shared" si="1"/>
        <v>38501.75</v>
      </c>
      <c r="E61" s="245">
        <f>E59+1</f>
        <v>27</v>
      </c>
      <c r="F61" s="112">
        <f>38248-1193.5+7*E61</f>
        <v>37243.5</v>
      </c>
      <c r="G61" s="55" t="s">
        <v>106</v>
      </c>
      <c r="H61" s="112">
        <f>38248+66.5+7*E61</f>
        <v>38503.5</v>
      </c>
      <c r="I61" s="245"/>
      <c r="J61" s="58"/>
      <c r="K61" s="58"/>
      <c r="L61" s="247"/>
      <c r="M61" s="245"/>
      <c r="N61" s="58"/>
      <c r="O61" s="58"/>
      <c r="P61" s="247"/>
      <c r="Q61" s="245"/>
      <c r="R61" s="249"/>
      <c r="S61" s="249"/>
      <c r="T61" s="247"/>
      <c r="U61" s="353"/>
      <c r="V61" s="354"/>
      <c r="W61" s="354"/>
      <c r="X61" s="354"/>
      <c r="Y61" s="355"/>
      <c r="Z61" s="353"/>
      <c r="AA61" s="354"/>
      <c r="AB61" s="354"/>
      <c r="AC61" s="354"/>
      <c r="AD61" s="355"/>
      <c r="AE61" s="636"/>
    </row>
    <row r="62" spans="1:31" x14ac:dyDescent="0.25">
      <c r="A62" s="189">
        <f t="shared" si="2"/>
        <v>54</v>
      </c>
      <c r="B62" s="112">
        <f t="shared" si="0"/>
        <v>37245.25</v>
      </c>
      <c r="C62" s="112" t="s">
        <v>106</v>
      </c>
      <c r="D62" s="112">
        <f t="shared" si="1"/>
        <v>38505.25</v>
      </c>
      <c r="E62" s="245"/>
      <c r="F62" s="58"/>
      <c r="G62" s="55"/>
      <c r="H62" s="247"/>
      <c r="I62" s="245">
        <f>I58+1</f>
        <v>14</v>
      </c>
      <c r="J62" s="112">
        <f>38248-1197+14*I62</f>
        <v>37247</v>
      </c>
      <c r="K62" s="55" t="s">
        <v>106</v>
      </c>
      <c r="L62" s="112">
        <f>38248+63+14*I62</f>
        <v>38507</v>
      </c>
      <c r="M62" s="245"/>
      <c r="N62" s="58"/>
      <c r="O62" s="58"/>
      <c r="P62" s="247"/>
      <c r="Q62" s="245"/>
      <c r="R62" s="249"/>
      <c r="S62" s="249"/>
      <c r="T62" s="247"/>
      <c r="U62" s="353"/>
      <c r="V62" s="354"/>
      <c r="W62" s="354"/>
      <c r="X62" s="354"/>
      <c r="Y62" s="355"/>
      <c r="Z62" s="353"/>
      <c r="AA62" s="354"/>
      <c r="AB62" s="354"/>
      <c r="AC62" s="354"/>
      <c r="AD62" s="355"/>
      <c r="AE62" s="202"/>
    </row>
    <row r="63" spans="1:31" x14ac:dyDescent="0.25">
      <c r="A63" s="189">
        <f t="shared" si="2"/>
        <v>55</v>
      </c>
      <c r="B63" s="112">
        <f t="shared" si="0"/>
        <v>37248.75</v>
      </c>
      <c r="C63" s="112" t="s">
        <v>106</v>
      </c>
      <c r="D63" s="112">
        <f t="shared" si="1"/>
        <v>38508.75</v>
      </c>
      <c r="E63" s="245">
        <f>E61+1</f>
        <v>28</v>
      </c>
      <c r="F63" s="112">
        <f>38248-1193.5+7*E63</f>
        <v>37250.5</v>
      </c>
      <c r="G63" s="55" t="s">
        <v>106</v>
      </c>
      <c r="H63" s="112">
        <f>38248+66.5+7*E63</f>
        <v>38510.5</v>
      </c>
      <c r="I63" s="245"/>
      <c r="J63" s="58"/>
      <c r="K63" s="55"/>
      <c r="L63" s="246"/>
      <c r="M63" s="245"/>
      <c r="N63" s="58"/>
      <c r="O63" s="58"/>
      <c r="P63" s="247"/>
      <c r="Q63" s="245"/>
      <c r="R63" s="249"/>
      <c r="S63" s="249"/>
      <c r="T63" s="247"/>
      <c r="U63" s="353"/>
      <c r="V63" s="354"/>
      <c r="W63" s="354"/>
      <c r="X63" s="354"/>
      <c r="Y63" s="355"/>
      <c r="Z63" s="353"/>
      <c r="AA63" s="354"/>
      <c r="AB63" s="354"/>
      <c r="AC63" s="354"/>
      <c r="AD63" s="355"/>
      <c r="AE63" s="202"/>
    </row>
    <row r="64" spans="1:31" x14ac:dyDescent="0.25">
      <c r="A64" s="189">
        <f t="shared" si="2"/>
        <v>56</v>
      </c>
      <c r="B64" s="112">
        <f t="shared" si="0"/>
        <v>37252.25</v>
      </c>
      <c r="C64" s="112" t="s">
        <v>106</v>
      </c>
      <c r="D64" s="112">
        <f t="shared" si="1"/>
        <v>38512.25</v>
      </c>
      <c r="E64" s="245"/>
      <c r="F64" s="58"/>
      <c r="G64" s="55"/>
      <c r="H64" s="247"/>
      <c r="I64" s="245"/>
      <c r="J64" s="58"/>
      <c r="K64" s="58"/>
      <c r="L64" s="247"/>
      <c r="M64" s="245"/>
      <c r="N64" s="58"/>
      <c r="O64" s="58"/>
      <c r="P64" s="247"/>
      <c r="Q64" s="245">
        <f>Q48+1</f>
        <v>4</v>
      </c>
      <c r="R64" s="112">
        <f>38248-1218+56*Q64</f>
        <v>37254</v>
      </c>
      <c r="S64" s="55" t="s">
        <v>106</v>
      </c>
      <c r="T64" s="112">
        <f>38248+42+56*Q64</f>
        <v>38514</v>
      </c>
      <c r="U64" s="353"/>
      <c r="V64" s="354"/>
      <c r="W64" s="354"/>
      <c r="X64" s="354"/>
      <c r="Y64" s="355"/>
      <c r="Z64" s="353"/>
      <c r="AA64" s="354"/>
      <c r="AB64" s="354"/>
      <c r="AC64" s="354"/>
      <c r="AD64" s="355"/>
      <c r="AE64" s="359"/>
    </row>
    <row r="65" spans="1:31" x14ac:dyDescent="0.25">
      <c r="A65" s="189">
        <f t="shared" si="2"/>
        <v>57</v>
      </c>
      <c r="B65" s="112">
        <f t="shared" si="0"/>
        <v>37255.75</v>
      </c>
      <c r="C65" s="112" t="s">
        <v>106</v>
      </c>
      <c r="D65" s="112">
        <f t="shared" si="1"/>
        <v>38515.75</v>
      </c>
      <c r="E65" s="245">
        <f>E63+1</f>
        <v>29</v>
      </c>
      <c r="F65" s="112">
        <f>38248-1193.5+7*E65</f>
        <v>37257.5</v>
      </c>
      <c r="G65" s="55" t="s">
        <v>106</v>
      </c>
      <c r="H65" s="112">
        <f>38248+66.5+7*E65</f>
        <v>38517.5</v>
      </c>
      <c r="I65" s="245"/>
      <c r="J65" s="58"/>
      <c r="K65" s="58"/>
      <c r="L65" s="247"/>
      <c r="M65" s="245"/>
      <c r="N65" s="58"/>
      <c r="O65" s="58"/>
      <c r="P65" s="247"/>
      <c r="Q65" s="245"/>
      <c r="R65" s="249"/>
      <c r="S65" s="249"/>
      <c r="T65" s="247"/>
      <c r="U65" s="353"/>
      <c r="V65" s="354"/>
      <c r="W65" s="354"/>
      <c r="X65" s="354"/>
      <c r="Y65" s="355"/>
      <c r="Z65" s="353"/>
      <c r="AA65" s="354"/>
      <c r="AB65" s="354"/>
      <c r="AC65" s="354"/>
      <c r="AD65" s="355"/>
      <c r="AE65" s="360" t="s">
        <v>231</v>
      </c>
    </row>
    <row r="66" spans="1:31" x14ac:dyDescent="0.25">
      <c r="A66" s="189">
        <f t="shared" si="2"/>
        <v>58</v>
      </c>
      <c r="B66" s="112">
        <f t="shared" si="0"/>
        <v>37259.25</v>
      </c>
      <c r="C66" s="112" t="s">
        <v>106</v>
      </c>
      <c r="D66" s="112">
        <f t="shared" si="1"/>
        <v>38519.25</v>
      </c>
      <c r="E66" s="245"/>
      <c r="F66" s="58"/>
      <c r="G66" s="55"/>
      <c r="H66" s="247"/>
      <c r="I66" s="245">
        <f>I62+1</f>
        <v>15</v>
      </c>
      <c r="J66" s="112">
        <f>38248-1197+14*I66</f>
        <v>37261</v>
      </c>
      <c r="K66" s="55" t="s">
        <v>106</v>
      </c>
      <c r="L66" s="112">
        <f>38248+63+14*I66</f>
        <v>38521</v>
      </c>
      <c r="M66" s="245"/>
      <c r="N66" s="58"/>
      <c r="O66" s="58"/>
      <c r="P66" s="247"/>
      <c r="Q66" s="245"/>
      <c r="R66" s="249"/>
      <c r="S66" s="249"/>
      <c r="T66" s="247"/>
      <c r="U66" s="353"/>
      <c r="V66" s="354"/>
      <c r="W66" s="354"/>
      <c r="X66" s="354"/>
      <c r="Y66" s="355"/>
      <c r="Z66" s="353"/>
      <c r="AA66" s="354"/>
      <c r="AB66" s="354"/>
      <c r="AC66" s="354"/>
      <c r="AD66" s="355"/>
      <c r="AE66" s="202"/>
    </row>
    <row r="67" spans="1:31" x14ac:dyDescent="0.25">
      <c r="A67" s="189">
        <f t="shared" si="2"/>
        <v>59</v>
      </c>
      <c r="B67" s="112">
        <f t="shared" si="0"/>
        <v>37262.75</v>
      </c>
      <c r="C67" s="112" t="s">
        <v>106</v>
      </c>
      <c r="D67" s="112">
        <f t="shared" si="1"/>
        <v>38522.75</v>
      </c>
      <c r="E67" s="245">
        <f>E65+1</f>
        <v>30</v>
      </c>
      <c r="F67" s="112">
        <f>38248-1193.5+7*E67</f>
        <v>37264.5</v>
      </c>
      <c r="G67" s="55" t="s">
        <v>106</v>
      </c>
      <c r="H67" s="112">
        <f>38248+66.5+7*E67</f>
        <v>38524.5</v>
      </c>
      <c r="I67" s="245"/>
      <c r="J67" s="58"/>
      <c r="K67" s="55"/>
      <c r="L67" s="246"/>
      <c r="M67" s="245"/>
      <c r="N67" s="58"/>
      <c r="O67" s="58"/>
      <c r="P67" s="247"/>
      <c r="Q67" s="245"/>
      <c r="R67" s="250"/>
      <c r="S67" s="249"/>
      <c r="T67" s="251"/>
      <c r="U67" s="353"/>
      <c r="V67" s="354"/>
      <c r="W67" s="354"/>
      <c r="X67" s="354"/>
      <c r="Y67" s="355"/>
      <c r="Z67" s="353"/>
      <c r="AA67" s="354"/>
      <c r="AB67" s="354"/>
      <c r="AC67" s="354"/>
      <c r="AD67" s="355"/>
      <c r="AE67" s="202"/>
    </row>
    <row r="68" spans="1:31" x14ac:dyDescent="0.25">
      <c r="A68" s="189">
        <f t="shared" si="2"/>
        <v>60</v>
      </c>
      <c r="B68" s="112">
        <f t="shared" si="0"/>
        <v>37266.25</v>
      </c>
      <c r="C68" s="112" t="s">
        <v>106</v>
      </c>
      <c r="D68" s="112">
        <f t="shared" si="1"/>
        <v>38526.25</v>
      </c>
      <c r="E68" s="245"/>
      <c r="F68" s="58"/>
      <c r="G68" s="55"/>
      <c r="H68" s="247"/>
      <c r="I68" s="245"/>
      <c r="J68" s="58"/>
      <c r="K68" s="58"/>
      <c r="L68" s="247"/>
      <c r="M68" s="245">
        <f>M60+1</f>
        <v>8</v>
      </c>
      <c r="N68" s="112">
        <f>38248-1204+28*M68</f>
        <v>37268</v>
      </c>
      <c r="O68" s="55" t="s">
        <v>106</v>
      </c>
      <c r="P68" s="112">
        <f>38248+56+28*M68</f>
        <v>38528</v>
      </c>
      <c r="Q68" s="245"/>
      <c r="R68" s="249"/>
      <c r="S68" s="249"/>
      <c r="T68" s="247"/>
      <c r="U68" s="353"/>
      <c r="V68" s="149"/>
      <c r="W68" s="357"/>
      <c r="X68" s="357"/>
      <c r="Y68" s="361"/>
      <c r="Z68" s="353"/>
      <c r="AA68" s="149"/>
      <c r="AB68" s="357"/>
      <c r="AC68" s="357"/>
      <c r="AD68" s="361"/>
      <c r="AE68" s="636"/>
    </row>
    <row r="69" spans="1:31" x14ac:dyDescent="0.25">
      <c r="A69" s="189">
        <f t="shared" si="2"/>
        <v>61</v>
      </c>
      <c r="B69" s="112">
        <f t="shared" si="0"/>
        <v>37269.75</v>
      </c>
      <c r="C69" s="112" t="s">
        <v>106</v>
      </c>
      <c r="D69" s="112">
        <f t="shared" si="1"/>
        <v>38529.75</v>
      </c>
      <c r="E69" s="245">
        <f>E67+1</f>
        <v>31</v>
      </c>
      <c r="F69" s="112">
        <f>38248-1193.5+7*E69</f>
        <v>37271.5</v>
      </c>
      <c r="G69" s="55" t="s">
        <v>106</v>
      </c>
      <c r="H69" s="112">
        <f>38248+66.5+7*E69</f>
        <v>38531.5</v>
      </c>
      <c r="I69" s="245"/>
      <c r="J69" s="58"/>
      <c r="K69" s="58"/>
      <c r="L69" s="247"/>
      <c r="M69" s="245"/>
      <c r="N69" s="58"/>
      <c r="O69" s="58"/>
      <c r="P69" s="247"/>
      <c r="Q69" s="245"/>
      <c r="R69" s="249"/>
      <c r="S69" s="249"/>
      <c r="T69" s="247"/>
      <c r="U69" s="353"/>
      <c r="V69" s="354"/>
      <c r="W69" s="354"/>
      <c r="X69" s="354"/>
      <c r="Y69" s="355"/>
      <c r="Z69" s="353"/>
      <c r="AA69" s="354"/>
      <c r="AB69" s="354"/>
      <c r="AC69" s="354"/>
      <c r="AD69" s="355"/>
      <c r="AE69" s="636" t="s">
        <v>230</v>
      </c>
    </row>
    <row r="70" spans="1:31" x14ac:dyDescent="0.25">
      <c r="A70" s="189">
        <f t="shared" si="2"/>
        <v>62</v>
      </c>
      <c r="B70" s="112">
        <f t="shared" si="0"/>
        <v>37273.25</v>
      </c>
      <c r="C70" s="112" t="s">
        <v>106</v>
      </c>
      <c r="D70" s="112">
        <f t="shared" si="1"/>
        <v>38533.25</v>
      </c>
      <c r="E70" s="245"/>
      <c r="F70" s="58"/>
      <c r="G70" s="55"/>
      <c r="H70" s="247"/>
      <c r="I70" s="245">
        <f>I66+1</f>
        <v>16</v>
      </c>
      <c r="J70" s="112">
        <f>38248-1197+14*I70</f>
        <v>37275</v>
      </c>
      <c r="K70" s="55" t="s">
        <v>106</v>
      </c>
      <c r="L70" s="112">
        <f>38248+63+14*I70</f>
        <v>38535</v>
      </c>
      <c r="M70" s="245"/>
      <c r="N70" s="58"/>
      <c r="O70" s="58"/>
      <c r="P70" s="247"/>
      <c r="Q70" s="245"/>
      <c r="R70" s="250"/>
      <c r="S70" s="250"/>
      <c r="T70" s="251"/>
      <c r="U70" s="353"/>
      <c r="V70" s="354"/>
      <c r="W70" s="354"/>
      <c r="X70" s="354"/>
      <c r="Y70" s="355"/>
      <c r="Z70" s="353"/>
      <c r="AA70" s="354"/>
      <c r="AB70" s="354"/>
      <c r="AC70" s="354"/>
      <c r="AD70" s="355"/>
      <c r="AE70" s="636"/>
    </row>
    <row r="71" spans="1:31" x14ac:dyDescent="0.25">
      <c r="A71" s="189">
        <f t="shared" si="2"/>
        <v>63</v>
      </c>
      <c r="B71" s="112">
        <f t="shared" si="0"/>
        <v>37276.75</v>
      </c>
      <c r="C71" s="112" t="s">
        <v>106</v>
      </c>
      <c r="D71" s="112">
        <f t="shared" si="1"/>
        <v>38536.75</v>
      </c>
      <c r="E71" s="245">
        <f>E69+1</f>
        <v>32</v>
      </c>
      <c r="F71" s="112">
        <f>38248-1193.5+7*E71</f>
        <v>37278.5</v>
      </c>
      <c r="G71" s="55" t="s">
        <v>106</v>
      </c>
      <c r="H71" s="112">
        <f>38248+66.5+7*E71</f>
        <v>38538.5</v>
      </c>
      <c r="I71" s="245"/>
      <c r="J71" s="58"/>
      <c r="K71" s="55"/>
      <c r="L71" s="246"/>
      <c r="M71" s="245"/>
      <c r="N71" s="58"/>
      <c r="O71" s="58"/>
      <c r="P71" s="247"/>
      <c r="Q71" s="245"/>
      <c r="R71" s="249"/>
      <c r="S71" s="249"/>
      <c r="T71" s="247"/>
      <c r="U71" s="353"/>
      <c r="V71" s="354"/>
      <c r="W71" s="354"/>
      <c r="X71" s="354"/>
      <c r="Y71" s="355"/>
      <c r="Z71" s="353"/>
      <c r="AA71" s="354"/>
      <c r="AB71" s="354"/>
      <c r="AC71" s="354"/>
      <c r="AD71" s="355"/>
      <c r="AE71" s="636"/>
    </row>
    <row r="72" spans="1:31" ht="15.75" thickBot="1" x14ac:dyDescent="0.3">
      <c r="A72" s="255">
        <f t="shared" si="2"/>
        <v>64</v>
      </c>
      <c r="B72" s="47">
        <f t="shared" si="0"/>
        <v>37280.25</v>
      </c>
      <c r="C72" s="47" t="s">
        <v>106</v>
      </c>
      <c r="D72" s="47">
        <f t="shared" si="1"/>
        <v>38540.25</v>
      </c>
      <c r="E72" s="254"/>
      <c r="F72" s="68"/>
      <c r="G72" s="65"/>
      <c r="H72" s="251"/>
      <c r="I72" s="254"/>
      <c r="J72" s="68"/>
      <c r="K72" s="68"/>
      <c r="L72" s="251"/>
      <c r="M72" s="254"/>
      <c r="N72" s="68"/>
      <c r="O72" s="68"/>
      <c r="P72" s="251"/>
      <c r="Q72" s="254"/>
      <c r="R72" s="250"/>
      <c r="S72" s="250"/>
      <c r="T72" s="251"/>
      <c r="U72" s="362"/>
      <c r="V72" s="363"/>
      <c r="W72" s="363"/>
      <c r="X72" s="363"/>
      <c r="Y72" s="364"/>
      <c r="Z72" s="362">
        <v>2</v>
      </c>
      <c r="AA72" s="354">
        <f>38248-1190+112*Z72</f>
        <v>37282</v>
      </c>
      <c r="AB72" s="354"/>
      <c r="AC72" s="354">
        <f>38248+70+112*Z72</f>
        <v>38542</v>
      </c>
      <c r="AD72" s="364"/>
      <c r="AE72" s="346"/>
    </row>
    <row r="73" spans="1:31" ht="15.75" thickTop="1" x14ac:dyDescent="0.25">
      <c r="A73" s="347">
        <f t="shared" si="2"/>
        <v>65</v>
      </c>
      <c r="B73" s="298">
        <f t="shared" si="0"/>
        <v>37283.75</v>
      </c>
      <c r="C73" s="298" t="s">
        <v>106</v>
      </c>
      <c r="D73" s="298">
        <f t="shared" si="1"/>
        <v>38543.75</v>
      </c>
      <c r="E73" s="326">
        <f>E71+1</f>
        <v>33</v>
      </c>
      <c r="F73" s="298">
        <f>38248-1193.5+7*E73</f>
        <v>37285.5</v>
      </c>
      <c r="G73" s="349" t="s">
        <v>106</v>
      </c>
      <c r="H73" s="298">
        <f>38248+66.5+7*E73</f>
        <v>38545.5</v>
      </c>
      <c r="I73" s="326"/>
      <c r="J73" s="298"/>
      <c r="K73" s="298"/>
      <c r="L73" s="325"/>
      <c r="M73" s="326"/>
      <c r="N73" s="298"/>
      <c r="O73" s="298"/>
      <c r="P73" s="325"/>
      <c r="Q73" s="326"/>
      <c r="R73" s="348"/>
      <c r="S73" s="348"/>
      <c r="T73" s="325"/>
      <c r="U73" s="326"/>
      <c r="V73" s="348"/>
      <c r="W73" s="348"/>
      <c r="X73" s="348"/>
      <c r="Y73" s="325"/>
      <c r="Z73" s="350"/>
      <c r="AA73" s="351"/>
      <c r="AB73" s="351"/>
      <c r="AC73" s="351"/>
      <c r="AD73" s="352"/>
      <c r="AE73" s="328"/>
    </row>
    <row r="74" spans="1:31" x14ac:dyDescent="0.25">
      <c r="A74" s="189">
        <f t="shared" si="2"/>
        <v>66</v>
      </c>
      <c r="B74" s="112">
        <f t="shared" ref="B74:B137" si="3">38248-1191.75+3.5*A74</f>
        <v>37287.25</v>
      </c>
      <c r="C74" s="112" t="s">
        <v>106</v>
      </c>
      <c r="D74" s="112">
        <f t="shared" ref="D74:D137" si="4">38248+68.25+3.5*A74</f>
        <v>38547.25</v>
      </c>
      <c r="E74" s="245"/>
      <c r="F74" s="58"/>
      <c r="G74" s="55"/>
      <c r="H74" s="247"/>
      <c r="I74" s="245">
        <f>I70+1</f>
        <v>17</v>
      </c>
      <c r="J74" s="112">
        <f>38248-1197+14*I74</f>
        <v>37289</v>
      </c>
      <c r="K74" s="55" t="s">
        <v>106</v>
      </c>
      <c r="L74" s="112">
        <f>38248+63+14*I74</f>
        <v>38549</v>
      </c>
      <c r="M74" s="245"/>
      <c r="N74" s="58"/>
      <c r="O74" s="58"/>
      <c r="P74" s="247"/>
      <c r="Q74" s="245"/>
      <c r="R74" s="249"/>
      <c r="S74" s="249"/>
      <c r="T74" s="247"/>
      <c r="U74" s="245"/>
      <c r="V74" s="249"/>
      <c r="W74" s="249"/>
      <c r="X74" s="249"/>
      <c r="Y74" s="247"/>
      <c r="Z74" s="353"/>
      <c r="AA74" s="354"/>
      <c r="AB74" s="354"/>
      <c r="AC74" s="354"/>
      <c r="AD74" s="355"/>
      <c r="AE74" s="202"/>
    </row>
    <row r="75" spans="1:31" x14ac:dyDescent="0.25">
      <c r="A75" s="189">
        <f>A74+1</f>
        <v>67</v>
      </c>
      <c r="B75" s="112">
        <f t="shared" si="3"/>
        <v>37290.75</v>
      </c>
      <c r="C75" s="112" t="s">
        <v>106</v>
      </c>
      <c r="D75" s="112">
        <f t="shared" si="4"/>
        <v>38550.75</v>
      </c>
      <c r="E75" s="245">
        <f>E73+1</f>
        <v>34</v>
      </c>
      <c r="F75" s="112">
        <f>38248-1193.5+7*E75</f>
        <v>37292.5</v>
      </c>
      <c r="G75" s="55" t="s">
        <v>106</v>
      </c>
      <c r="H75" s="112">
        <f>38248+66.5+7*E75</f>
        <v>38552.5</v>
      </c>
      <c r="I75" s="245"/>
      <c r="J75" s="58"/>
      <c r="K75" s="55"/>
      <c r="L75" s="246"/>
      <c r="M75" s="245"/>
      <c r="N75" s="58"/>
      <c r="O75" s="58"/>
      <c r="P75" s="247"/>
      <c r="Q75" s="245"/>
      <c r="R75" s="249"/>
      <c r="S75" s="249"/>
      <c r="T75" s="247"/>
      <c r="U75" s="245"/>
      <c r="V75" s="249"/>
      <c r="W75" s="249"/>
      <c r="X75" s="249"/>
      <c r="Y75" s="247"/>
      <c r="Z75" s="353"/>
      <c r="AA75" s="354"/>
      <c r="AB75" s="354"/>
      <c r="AC75" s="354"/>
      <c r="AD75" s="355"/>
      <c r="AE75" s="202"/>
    </row>
    <row r="76" spans="1:31" x14ac:dyDescent="0.25">
      <c r="A76" s="189">
        <f>A75+1</f>
        <v>68</v>
      </c>
      <c r="B76" s="112">
        <f t="shared" si="3"/>
        <v>37294.25</v>
      </c>
      <c r="C76" s="112" t="s">
        <v>106</v>
      </c>
      <c r="D76" s="112">
        <f t="shared" si="4"/>
        <v>38554.25</v>
      </c>
      <c r="E76" s="245"/>
      <c r="F76" s="58"/>
      <c r="G76" s="55"/>
      <c r="H76" s="247"/>
      <c r="I76" s="245"/>
      <c r="J76" s="58"/>
      <c r="K76" s="58"/>
      <c r="L76" s="247"/>
      <c r="M76" s="245">
        <f>M68+1</f>
        <v>9</v>
      </c>
      <c r="N76" s="112">
        <f>38248-1204+28*M76</f>
        <v>37296</v>
      </c>
      <c r="O76" s="55" t="s">
        <v>106</v>
      </c>
      <c r="P76" s="112">
        <f>38248+56+28*M76</f>
        <v>38556</v>
      </c>
      <c r="Q76" s="245"/>
      <c r="R76" s="58"/>
      <c r="S76" s="55"/>
      <c r="T76" s="246"/>
      <c r="U76" s="245"/>
      <c r="V76" s="249"/>
      <c r="W76" s="249"/>
      <c r="X76" s="249"/>
      <c r="Y76" s="247"/>
      <c r="Z76" s="353"/>
      <c r="AA76" s="354"/>
      <c r="AB76" s="354"/>
      <c r="AC76" s="354"/>
      <c r="AD76" s="355"/>
      <c r="AE76" s="202"/>
    </row>
    <row r="77" spans="1:31" x14ac:dyDescent="0.25">
      <c r="A77" s="189">
        <f>A76+1</f>
        <v>69</v>
      </c>
      <c r="B77" s="112">
        <f t="shared" si="3"/>
        <v>37297.75</v>
      </c>
      <c r="C77" s="112" t="s">
        <v>106</v>
      </c>
      <c r="D77" s="112">
        <f t="shared" si="4"/>
        <v>38557.75</v>
      </c>
      <c r="E77" s="245">
        <f>E75+1</f>
        <v>35</v>
      </c>
      <c r="F77" s="112">
        <f>38248-1193.5+7*E77</f>
        <v>37299.5</v>
      </c>
      <c r="G77" s="55" t="s">
        <v>106</v>
      </c>
      <c r="H77" s="112">
        <f>38248+66.5+7*E77</f>
        <v>38559.5</v>
      </c>
      <c r="I77" s="245"/>
      <c r="J77" s="58"/>
      <c r="K77" s="58"/>
      <c r="L77" s="247"/>
      <c r="M77" s="245"/>
      <c r="N77" s="58"/>
      <c r="O77" s="58"/>
      <c r="P77" s="247"/>
      <c r="Q77" s="245"/>
      <c r="R77" s="249"/>
      <c r="S77" s="249"/>
      <c r="T77" s="247"/>
      <c r="U77" s="245"/>
      <c r="V77" s="249"/>
      <c r="W77" s="249"/>
      <c r="X77" s="249"/>
      <c r="Y77" s="247"/>
      <c r="Z77" s="353"/>
      <c r="AA77" s="354"/>
      <c r="AB77" s="354"/>
      <c r="AC77" s="354"/>
      <c r="AD77" s="355"/>
      <c r="AE77" s="202"/>
    </row>
    <row r="78" spans="1:31" x14ac:dyDescent="0.25">
      <c r="A78" s="189">
        <f>A77+1</f>
        <v>70</v>
      </c>
      <c r="B78" s="112">
        <f t="shared" si="3"/>
        <v>37301.25</v>
      </c>
      <c r="C78" s="112" t="s">
        <v>106</v>
      </c>
      <c r="D78" s="112">
        <f t="shared" si="4"/>
        <v>38561.25</v>
      </c>
      <c r="E78" s="245"/>
      <c r="F78" s="58"/>
      <c r="G78" s="55"/>
      <c r="H78" s="247"/>
      <c r="I78" s="245">
        <f>I74+1</f>
        <v>18</v>
      </c>
      <c r="J78" s="112">
        <f>38248-1197+14*I78</f>
        <v>37303</v>
      </c>
      <c r="K78" s="55" t="s">
        <v>106</v>
      </c>
      <c r="L78" s="112">
        <f>38248+63+14*I78</f>
        <v>38563</v>
      </c>
      <c r="M78" s="245"/>
      <c r="N78" s="58"/>
      <c r="O78" s="58"/>
      <c r="P78" s="247"/>
      <c r="Q78" s="245"/>
      <c r="R78" s="249"/>
      <c r="S78" s="249"/>
      <c r="T78" s="247"/>
      <c r="U78" s="245"/>
      <c r="V78" s="249"/>
      <c r="W78" s="249"/>
      <c r="X78" s="249"/>
      <c r="Y78" s="247"/>
      <c r="Z78" s="353"/>
      <c r="AA78" s="354"/>
      <c r="AB78" s="354"/>
      <c r="AC78" s="354"/>
      <c r="AD78" s="355"/>
      <c r="AE78" s="202"/>
    </row>
    <row r="79" spans="1:31" x14ac:dyDescent="0.25">
      <c r="A79" s="189">
        <f t="shared" ref="A79:A142" si="5">A78+1</f>
        <v>71</v>
      </c>
      <c r="B79" s="112">
        <f t="shared" si="3"/>
        <v>37304.75</v>
      </c>
      <c r="C79" s="112" t="s">
        <v>106</v>
      </c>
      <c r="D79" s="112">
        <f t="shared" si="4"/>
        <v>38564.75</v>
      </c>
      <c r="E79" s="245">
        <f>E77+1</f>
        <v>36</v>
      </c>
      <c r="F79" s="112">
        <f>38248-1193.5+7*E79</f>
        <v>37306.5</v>
      </c>
      <c r="G79" s="55" t="s">
        <v>106</v>
      </c>
      <c r="H79" s="112">
        <f>38248+66.5+7*E79</f>
        <v>38566.5</v>
      </c>
      <c r="I79" s="245"/>
      <c r="J79" s="58"/>
      <c r="K79" s="55"/>
      <c r="L79" s="246"/>
      <c r="M79" s="245"/>
      <c r="N79" s="58"/>
      <c r="O79" s="58"/>
      <c r="P79" s="247"/>
      <c r="Q79" s="245"/>
      <c r="R79" s="249"/>
      <c r="S79" s="249"/>
      <c r="T79" s="247"/>
      <c r="U79" s="245"/>
      <c r="V79" s="249"/>
      <c r="W79" s="249"/>
      <c r="X79" s="249"/>
      <c r="Y79" s="247"/>
      <c r="Z79" s="353"/>
      <c r="AA79" s="354"/>
      <c r="AB79" s="354"/>
      <c r="AC79" s="354"/>
      <c r="AD79" s="355"/>
      <c r="AE79" s="202"/>
    </row>
    <row r="80" spans="1:31" x14ac:dyDescent="0.25">
      <c r="A80" s="189">
        <f t="shared" si="5"/>
        <v>72</v>
      </c>
      <c r="B80" s="112">
        <f t="shared" si="3"/>
        <v>37308.25</v>
      </c>
      <c r="C80" s="112" t="s">
        <v>106</v>
      </c>
      <c r="D80" s="112">
        <f t="shared" si="4"/>
        <v>38568.25</v>
      </c>
      <c r="E80" s="245"/>
      <c r="F80" s="58"/>
      <c r="G80" s="55"/>
      <c r="H80" s="247"/>
      <c r="I80" s="245"/>
      <c r="J80" s="58"/>
      <c r="K80" s="58"/>
      <c r="L80" s="247"/>
      <c r="M80" s="245"/>
      <c r="N80" s="58"/>
      <c r="O80" s="58"/>
      <c r="P80" s="247"/>
      <c r="Q80" s="245">
        <f>Q64+1</f>
        <v>5</v>
      </c>
      <c r="R80" s="112">
        <f>38248-1218+56*Q80</f>
        <v>37310</v>
      </c>
      <c r="S80" s="55" t="s">
        <v>106</v>
      </c>
      <c r="T80" s="112">
        <f>38248+42+56*Q80</f>
        <v>38570</v>
      </c>
      <c r="U80" s="245"/>
      <c r="V80" s="249"/>
      <c r="W80" s="249"/>
      <c r="X80" s="249"/>
      <c r="Y80" s="247"/>
      <c r="Z80" s="353"/>
      <c r="AA80" s="354"/>
      <c r="AB80" s="354"/>
      <c r="AC80" s="354"/>
      <c r="AD80" s="355"/>
      <c r="AE80" s="360" t="s">
        <v>231</v>
      </c>
    </row>
    <row r="81" spans="1:31" x14ac:dyDescent="0.25">
      <c r="A81" s="189">
        <f t="shared" si="5"/>
        <v>73</v>
      </c>
      <c r="B81" s="112">
        <f t="shared" si="3"/>
        <v>37311.75</v>
      </c>
      <c r="C81" s="112" t="s">
        <v>106</v>
      </c>
      <c r="D81" s="112">
        <f t="shared" si="4"/>
        <v>38571.75</v>
      </c>
      <c r="E81" s="245">
        <f>E79+1</f>
        <v>37</v>
      </c>
      <c r="F81" s="112">
        <f>38248-1193.5+7*E81</f>
        <v>37313.5</v>
      </c>
      <c r="G81" s="55" t="s">
        <v>106</v>
      </c>
      <c r="H81" s="112">
        <f>38248+66.5+7*E81</f>
        <v>38573.5</v>
      </c>
      <c r="I81" s="245"/>
      <c r="J81" s="58"/>
      <c r="K81" s="58"/>
      <c r="L81" s="247"/>
      <c r="M81" s="245"/>
      <c r="N81" s="58"/>
      <c r="O81" s="58"/>
      <c r="P81" s="247"/>
      <c r="Q81" s="245"/>
      <c r="R81" s="249"/>
      <c r="S81" s="249"/>
      <c r="T81" s="247"/>
      <c r="U81" s="245"/>
      <c r="V81" s="249"/>
      <c r="W81" s="249"/>
      <c r="X81" s="249"/>
      <c r="Y81" s="247"/>
      <c r="Z81" s="353"/>
      <c r="AA81" s="354"/>
      <c r="AB81" s="354"/>
      <c r="AC81" s="354"/>
      <c r="AD81" s="355"/>
      <c r="AE81" s="636" t="s">
        <v>230</v>
      </c>
    </row>
    <row r="82" spans="1:31" x14ac:dyDescent="0.25">
      <c r="A82" s="189">
        <f t="shared" si="5"/>
        <v>74</v>
      </c>
      <c r="B82" s="112">
        <f t="shared" si="3"/>
        <v>37315.25</v>
      </c>
      <c r="C82" s="112" t="s">
        <v>106</v>
      </c>
      <c r="D82" s="112">
        <f t="shared" si="4"/>
        <v>38575.25</v>
      </c>
      <c r="E82" s="245"/>
      <c r="F82" s="58"/>
      <c r="G82" s="55"/>
      <c r="H82" s="247"/>
      <c r="I82" s="245">
        <f>I78+1</f>
        <v>19</v>
      </c>
      <c r="J82" s="112">
        <f>38248-1197+14*I82</f>
        <v>37317</v>
      </c>
      <c r="K82" s="55" t="s">
        <v>106</v>
      </c>
      <c r="L82" s="112">
        <f>38248+63+14*I82</f>
        <v>38577</v>
      </c>
      <c r="M82" s="245"/>
      <c r="N82" s="58"/>
      <c r="O82" s="58"/>
      <c r="P82" s="247"/>
      <c r="Q82" s="245"/>
      <c r="R82" s="249"/>
      <c r="S82" s="249"/>
      <c r="T82" s="247"/>
      <c r="U82" s="245"/>
      <c r="V82" s="249"/>
      <c r="W82" s="249"/>
      <c r="X82" s="249"/>
      <c r="Y82" s="247"/>
      <c r="Z82" s="353"/>
      <c r="AA82" s="354"/>
      <c r="AB82" s="354"/>
      <c r="AC82" s="354"/>
      <c r="AD82" s="355"/>
      <c r="AE82" s="636"/>
    </row>
    <row r="83" spans="1:31" x14ac:dyDescent="0.25">
      <c r="A83" s="189">
        <f t="shared" si="5"/>
        <v>75</v>
      </c>
      <c r="B83" s="112">
        <f t="shared" si="3"/>
        <v>37318.75</v>
      </c>
      <c r="C83" s="112" t="s">
        <v>106</v>
      </c>
      <c r="D83" s="112">
        <f t="shared" si="4"/>
        <v>38578.75</v>
      </c>
      <c r="E83" s="245">
        <f>E81+1</f>
        <v>38</v>
      </c>
      <c r="F83" s="112">
        <f>38248-1193.5+7*E83</f>
        <v>37320.5</v>
      </c>
      <c r="G83" s="55" t="s">
        <v>106</v>
      </c>
      <c r="H83" s="112">
        <f>38248+66.5+7*E83</f>
        <v>38580.5</v>
      </c>
      <c r="I83" s="245"/>
      <c r="J83" s="58"/>
      <c r="K83" s="55"/>
      <c r="L83" s="246"/>
      <c r="M83" s="245"/>
      <c r="N83" s="58"/>
      <c r="O83" s="58"/>
      <c r="P83" s="247"/>
      <c r="Q83" s="245"/>
      <c r="R83" s="250"/>
      <c r="S83" s="249"/>
      <c r="T83" s="251"/>
      <c r="U83" s="245"/>
      <c r="V83" s="249"/>
      <c r="W83" s="249"/>
      <c r="X83" s="249"/>
      <c r="Y83" s="247"/>
      <c r="Z83" s="353"/>
      <c r="AA83" s="354"/>
      <c r="AB83" s="354"/>
      <c r="AC83" s="354"/>
      <c r="AD83" s="355"/>
      <c r="AE83" s="636"/>
    </row>
    <row r="84" spans="1:31" x14ac:dyDescent="0.25">
      <c r="A84" s="189">
        <f t="shared" si="5"/>
        <v>76</v>
      </c>
      <c r="B84" s="112">
        <f t="shared" si="3"/>
        <v>37322.25</v>
      </c>
      <c r="C84" s="112" t="s">
        <v>106</v>
      </c>
      <c r="D84" s="112">
        <f t="shared" si="4"/>
        <v>38582.25</v>
      </c>
      <c r="E84" s="245"/>
      <c r="F84" s="58"/>
      <c r="G84" s="55"/>
      <c r="H84" s="247"/>
      <c r="I84" s="245"/>
      <c r="J84" s="58"/>
      <c r="K84" s="58"/>
      <c r="L84" s="247"/>
      <c r="M84" s="245">
        <f>M76+1</f>
        <v>10</v>
      </c>
      <c r="N84" s="112">
        <f>38248-1204+28*M84</f>
        <v>37324</v>
      </c>
      <c r="O84" s="55" t="s">
        <v>106</v>
      </c>
      <c r="P84" s="112">
        <f>38248+56+28*M84</f>
        <v>38584</v>
      </c>
      <c r="Q84" s="245"/>
      <c r="R84" s="249"/>
      <c r="S84" s="249"/>
      <c r="T84" s="247"/>
      <c r="U84" s="245"/>
      <c r="V84" s="249"/>
      <c r="W84" s="249"/>
      <c r="X84" s="249"/>
      <c r="Y84" s="247"/>
      <c r="Z84" s="353"/>
      <c r="AA84" s="354"/>
      <c r="AB84" s="354"/>
      <c r="AC84" s="354"/>
      <c r="AD84" s="355"/>
      <c r="AE84" s="202"/>
    </row>
    <row r="85" spans="1:31" x14ac:dyDescent="0.25">
      <c r="A85" s="189">
        <f t="shared" si="5"/>
        <v>77</v>
      </c>
      <c r="B85" s="112">
        <f t="shared" si="3"/>
        <v>37325.75</v>
      </c>
      <c r="C85" s="112" t="s">
        <v>106</v>
      </c>
      <c r="D85" s="112">
        <f t="shared" si="4"/>
        <v>38585.75</v>
      </c>
      <c r="E85" s="245">
        <f>E83+1</f>
        <v>39</v>
      </c>
      <c r="F85" s="112">
        <f>38248-1193.5+7*E85</f>
        <v>37327.5</v>
      </c>
      <c r="G85" s="55" t="s">
        <v>106</v>
      </c>
      <c r="H85" s="112">
        <f>38248+66.5+7*E85</f>
        <v>38587.5</v>
      </c>
      <c r="I85" s="245"/>
      <c r="J85" s="58"/>
      <c r="K85" s="58"/>
      <c r="L85" s="247"/>
      <c r="M85" s="245"/>
      <c r="N85" s="58"/>
      <c r="O85" s="58"/>
      <c r="P85" s="247"/>
      <c r="Q85" s="245"/>
      <c r="R85" s="249"/>
      <c r="S85" s="249"/>
      <c r="T85" s="247"/>
      <c r="U85" s="245"/>
      <c r="V85" s="249"/>
      <c r="W85" s="249"/>
      <c r="X85" s="249"/>
      <c r="Y85" s="247"/>
      <c r="Z85" s="353"/>
      <c r="AA85" s="354"/>
      <c r="AB85" s="354"/>
      <c r="AC85" s="354"/>
      <c r="AD85" s="355"/>
      <c r="AE85" s="202"/>
    </row>
    <row r="86" spans="1:31" x14ac:dyDescent="0.25">
      <c r="A86" s="189">
        <f t="shared" si="5"/>
        <v>78</v>
      </c>
      <c r="B86" s="112">
        <f t="shared" si="3"/>
        <v>37329.25</v>
      </c>
      <c r="C86" s="112" t="s">
        <v>106</v>
      </c>
      <c r="D86" s="112">
        <f t="shared" si="4"/>
        <v>38589.25</v>
      </c>
      <c r="E86" s="245"/>
      <c r="F86" s="58"/>
      <c r="G86" s="55"/>
      <c r="H86" s="247"/>
      <c r="I86" s="245">
        <f>I82+1</f>
        <v>20</v>
      </c>
      <c r="J86" s="112">
        <f>38248-1197+14*I86</f>
        <v>37331</v>
      </c>
      <c r="K86" s="55" t="s">
        <v>106</v>
      </c>
      <c r="L86" s="112">
        <f>38248+63+14*I86</f>
        <v>38591</v>
      </c>
      <c r="M86" s="245"/>
      <c r="N86" s="58"/>
      <c r="O86" s="58"/>
      <c r="P86" s="247"/>
      <c r="Q86" s="245"/>
      <c r="R86" s="250"/>
      <c r="S86" s="250"/>
      <c r="T86" s="251"/>
      <c r="U86" s="245"/>
      <c r="V86" s="249"/>
      <c r="W86" s="249"/>
      <c r="X86" s="249"/>
      <c r="Y86" s="247"/>
      <c r="Z86" s="353"/>
      <c r="AA86" s="354"/>
      <c r="AB86" s="354"/>
      <c r="AC86" s="354"/>
      <c r="AD86" s="355"/>
      <c r="AE86" s="202"/>
    </row>
    <row r="87" spans="1:31" x14ac:dyDescent="0.25">
      <c r="A87" s="189">
        <f t="shared" si="5"/>
        <v>79</v>
      </c>
      <c r="B87" s="112">
        <f t="shared" si="3"/>
        <v>37332.75</v>
      </c>
      <c r="C87" s="112" t="s">
        <v>106</v>
      </c>
      <c r="D87" s="112">
        <f t="shared" si="4"/>
        <v>38592.75</v>
      </c>
      <c r="E87" s="245">
        <f>E85+1</f>
        <v>40</v>
      </c>
      <c r="F87" s="112">
        <f>38248-1193.5+7*E87</f>
        <v>37334.5</v>
      </c>
      <c r="G87" s="55" t="s">
        <v>106</v>
      </c>
      <c r="H87" s="112">
        <f>38248+66.5+7*E87</f>
        <v>38594.5</v>
      </c>
      <c r="I87" s="245"/>
      <c r="J87" s="58"/>
      <c r="K87" s="55"/>
      <c r="L87" s="246"/>
      <c r="M87" s="245"/>
      <c r="N87" s="58"/>
      <c r="O87" s="58"/>
      <c r="P87" s="247"/>
      <c r="Q87" s="245"/>
      <c r="R87" s="249"/>
      <c r="S87" s="249"/>
      <c r="T87" s="247"/>
      <c r="U87" s="245"/>
      <c r="V87" s="249"/>
      <c r="W87" s="249"/>
      <c r="X87" s="249"/>
      <c r="Y87" s="247"/>
      <c r="Z87" s="353"/>
      <c r="AA87" s="354"/>
      <c r="AB87" s="354"/>
      <c r="AC87" s="354"/>
      <c r="AD87" s="355"/>
      <c r="AE87" s="202"/>
    </row>
    <row r="88" spans="1:31" ht="15.75" thickBot="1" x14ac:dyDescent="0.3">
      <c r="A88" s="255">
        <f t="shared" si="5"/>
        <v>80</v>
      </c>
      <c r="B88" s="47">
        <f t="shared" si="3"/>
        <v>37336.25</v>
      </c>
      <c r="C88" s="47" t="s">
        <v>106</v>
      </c>
      <c r="D88" s="47">
        <f t="shared" si="4"/>
        <v>38596.25</v>
      </c>
      <c r="E88" s="254"/>
      <c r="F88" s="68"/>
      <c r="G88" s="65"/>
      <c r="H88" s="251"/>
      <c r="I88" s="254"/>
      <c r="J88" s="68"/>
      <c r="K88" s="68"/>
      <c r="L88" s="251"/>
      <c r="M88" s="254"/>
      <c r="N88" s="68"/>
      <c r="O88" s="68"/>
      <c r="P88" s="251"/>
      <c r="Q88" s="254"/>
      <c r="R88" s="250"/>
      <c r="S88" s="250"/>
      <c r="T88" s="251"/>
      <c r="U88" s="3">
        <v>3</v>
      </c>
      <c r="V88" s="112">
        <f>38248-1246+112*U88</f>
        <v>37338</v>
      </c>
      <c r="W88" s="7" t="s">
        <v>106</v>
      </c>
      <c r="X88" s="112">
        <f>38248+14+112*U88</f>
        <v>38598</v>
      </c>
      <c r="Y88" s="251"/>
      <c r="Z88" s="365"/>
      <c r="AA88" s="361"/>
      <c r="AB88" s="366"/>
      <c r="AC88" s="361"/>
      <c r="AD88" s="366"/>
      <c r="AE88" s="346"/>
    </row>
    <row r="89" spans="1:31" ht="15.75" thickTop="1" x14ac:dyDescent="0.25">
      <c r="A89" s="347">
        <f t="shared" si="5"/>
        <v>81</v>
      </c>
      <c r="B89" s="298">
        <f t="shared" si="3"/>
        <v>37339.75</v>
      </c>
      <c r="C89" s="298" t="s">
        <v>106</v>
      </c>
      <c r="D89" s="298">
        <f t="shared" si="4"/>
        <v>38599.75</v>
      </c>
      <c r="E89" s="326">
        <f>E87+1</f>
        <v>41</v>
      </c>
      <c r="F89" s="298">
        <f>38248-1193.5+7*E89</f>
        <v>37341.5</v>
      </c>
      <c r="G89" s="349" t="s">
        <v>106</v>
      </c>
      <c r="H89" s="298">
        <f>38248+66.5+7*E89</f>
        <v>38601.5</v>
      </c>
      <c r="I89" s="326"/>
      <c r="J89" s="298"/>
      <c r="K89" s="298"/>
      <c r="L89" s="325"/>
      <c r="M89" s="326"/>
      <c r="N89" s="298"/>
      <c r="O89" s="298"/>
      <c r="P89" s="325"/>
      <c r="Q89" s="326"/>
      <c r="R89" s="348"/>
      <c r="S89" s="348"/>
      <c r="T89" s="325"/>
      <c r="U89" s="326"/>
      <c r="V89" s="348"/>
      <c r="W89" s="348"/>
      <c r="X89" s="348"/>
      <c r="Y89" s="325"/>
      <c r="Z89" s="350"/>
      <c r="AA89" s="351"/>
      <c r="AB89" s="351"/>
      <c r="AC89" s="351"/>
      <c r="AD89" s="352"/>
      <c r="AE89" s="328"/>
    </row>
    <row r="90" spans="1:31" x14ac:dyDescent="0.25">
      <c r="A90" s="189">
        <f t="shared" si="5"/>
        <v>82</v>
      </c>
      <c r="B90" s="112">
        <f t="shared" si="3"/>
        <v>37343.25</v>
      </c>
      <c r="C90" s="112" t="s">
        <v>106</v>
      </c>
      <c r="D90" s="112">
        <f t="shared" si="4"/>
        <v>38603.25</v>
      </c>
      <c r="E90" s="245"/>
      <c r="F90" s="58"/>
      <c r="G90" s="55"/>
      <c r="H90" s="247"/>
      <c r="I90" s="245">
        <f>I86+1</f>
        <v>21</v>
      </c>
      <c r="J90" s="112">
        <f>38248-1197+14*I90</f>
        <v>37345</v>
      </c>
      <c r="K90" s="55" t="s">
        <v>106</v>
      </c>
      <c r="L90" s="112">
        <f>38248+63+14*I90</f>
        <v>38605</v>
      </c>
      <c r="M90" s="245"/>
      <c r="N90" s="58"/>
      <c r="O90" s="58"/>
      <c r="P90" s="247"/>
      <c r="Q90" s="245"/>
      <c r="R90" s="249"/>
      <c r="S90" s="249"/>
      <c r="T90" s="247"/>
      <c r="U90" s="245"/>
      <c r="V90" s="249"/>
      <c r="W90" s="249"/>
      <c r="X90" s="249"/>
      <c r="Y90" s="247"/>
      <c r="Z90" s="353"/>
      <c r="AA90" s="354"/>
      <c r="AB90" s="354"/>
      <c r="AC90" s="354"/>
      <c r="AD90" s="355"/>
      <c r="AE90" s="202"/>
    </row>
    <row r="91" spans="1:31" x14ac:dyDescent="0.25">
      <c r="A91" s="189">
        <f t="shared" si="5"/>
        <v>83</v>
      </c>
      <c r="B91" s="112">
        <f t="shared" si="3"/>
        <v>37346.75</v>
      </c>
      <c r="C91" s="112" t="s">
        <v>106</v>
      </c>
      <c r="D91" s="112">
        <f t="shared" si="4"/>
        <v>38606.75</v>
      </c>
      <c r="E91" s="245">
        <f>E89+1</f>
        <v>42</v>
      </c>
      <c r="F91" s="112">
        <f>38248-1193.5+7*E91</f>
        <v>37348.5</v>
      </c>
      <c r="G91" s="55" t="s">
        <v>106</v>
      </c>
      <c r="H91" s="112">
        <f>38248+66.5+7*E91</f>
        <v>38608.5</v>
      </c>
      <c r="I91" s="245"/>
      <c r="J91" s="58"/>
      <c r="K91" s="55"/>
      <c r="L91" s="246"/>
      <c r="M91" s="245"/>
      <c r="N91" s="58"/>
      <c r="O91" s="58"/>
      <c r="P91" s="247"/>
      <c r="Q91" s="245"/>
      <c r="R91" s="249"/>
      <c r="S91" s="249"/>
      <c r="T91" s="247"/>
      <c r="U91" s="245"/>
      <c r="V91" s="249"/>
      <c r="W91" s="249"/>
      <c r="X91" s="249"/>
      <c r="Y91" s="247"/>
      <c r="Z91" s="353"/>
      <c r="AA91" s="354"/>
      <c r="AB91" s="354"/>
      <c r="AC91" s="354"/>
      <c r="AD91" s="355"/>
      <c r="AE91" s="202"/>
    </row>
    <row r="92" spans="1:31" x14ac:dyDescent="0.25">
      <c r="A92" s="189">
        <f t="shared" si="5"/>
        <v>84</v>
      </c>
      <c r="B92" s="112">
        <f t="shared" si="3"/>
        <v>37350.25</v>
      </c>
      <c r="C92" s="112" t="s">
        <v>106</v>
      </c>
      <c r="D92" s="112">
        <f t="shared" si="4"/>
        <v>38610.25</v>
      </c>
      <c r="E92" s="245"/>
      <c r="F92" s="58"/>
      <c r="G92" s="55"/>
      <c r="H92" s="247"/>
      <c r="I92" s="245"/>
      <c r="J92" s="58"/>
      <c r="K92" s="58"/>
      <c r="L92" s="247"/>
      <c r="M92" s="245">
        <f>M84+1</f>
        <v>11</v>
      </c>
      <c r="N92" s="112">
        <f>38248-1204+28*M92</f>
        <v>37352</v>
      </c>
      <c r="O92" s="55" t="s">
        <v>106</v>
      </c>
      <c r="P92" s="112">
        <f>38248+56+28*M92</f>
        <v>38612</v>
      </c>
      <c r="Q92" s="245"/>
      <c r="R92" s="58"/>
      <c r="S92" s="55"/>
      <c r="T92" s="246"/>
      <c r="U92" s="245"/>
      <c r="V92" s="58"/>
      <c r="W92" s="55"/>
      <c r="X92" s="55"/>
      <c r="Y92" s="246"/>
      <c r="Z92" s="353"/>
      <c r="AA92" s="356"/>
      <c r="AB92" s="357"/>
      <c r="AC92" s="357"/>
      <c r="AD92" s="358"/>
      <c r="AE92" s="202"/>
    </row>
    <row r="93" spans="1:31" x14ac:dyDescent="0.25">
      <c r="A93" s="189">
        <f t="shared" si="5"/>
        <v>85</v>
      </c>
      <c r="B93" s="112">
        <f t="shared" si="3"/>
        <v>37353.75</v>
      </c>
      <c r="C93" s="112" t="s">
        <v>106</v>
      </c>
      <c r="D93" s="112">
        <f t="shared" si="4"/>
        <v>38613.75</v>
      </c>
      <c r="E93" s="245">
        <f>E91+1</f>
        <v>43</v>
      </c>
      <c r="F93" s="112">
        <f>38248-1193.5+7*E93</f>
        <v>37355.5</v>
      </c>
      <c r="G93" s="55" t="s">
        <v>106</v>
      </c>
      <c r="H93" s="112">
        <f>38248+66.5+7*E93</f>
        <v>38615.5</v>
      </c>
      <c r="I93" s="245"/>
      <c r="J93" s="58"/>
      <c r="K93" s="58"/>
      <c r="L93" s="247"/>
      <c r="M93" s="245"/>
      <c r="N93" s="58"/>
      <c r="O93" s="58"/>
      <c r="P93" s="247"/>
      <c r="Q93" s="245"/>
      <c r="R93" s="249"/>
      <c r="S93" s="249"/>
      <c r="T93" s="247"/>
      <c r="U93" s="245"/>
      <c r="V93" s="249"/>
      <c r="W93" s="249"/>
      <c r="X93" s="249"/>
      <c r="Y93" s="247"/>
      <c r="Z93" s="353"/>
      <c r="AA93" s="354"/>
      <c r="AB93" s="354"/>
      <c r="AC93" s="354"/>
      <c r="AD93" s="355"/>
      <c r="AE93" s="202"/>
    </row>
    <row r="94" spans="1:31" x14ac:dyDescent="0.25">
      <c r="A94" s="189">
        <f t="shared" si="5"/>
        <v>86</v>
      </c>
      <c r="B94" s="112">
        <f t="shared" si="3"/>
        <v>37357.25</v>
      </c>
      <c r="C94" s="112" t="s">
        <v>106</v>
      </c>
      <c r="D94" s="112">
        <f t="shared" si="4"/>
        <v>38617.25</v>
      </c>
      <c r="E94" s="245"/>
      <c r="F94" s="58"/>
      <c r="G94" s="55"/>
      <c r="H94" s="247"/>
      <c r="I94" s="245">
        <f>I90+1</f>
        <v>22</v>
      </c>
      <c r="J94" s="112">
        <f>38248-1197+14*I94</f>
        <v>37359</v>
      </c>
      <c r="K94" s="55" t="s">
        <v>106</v>
      </c>
      <c r="L94" s="112">
        <f>38248+63+14*I94</f>
        <v>38619</v>
      </c>
      <c r="M94" s="245"/>
      <c r="N94" s="58"/>
      <c r="O94" s="58"/>
      <c r="P94" s="247"/>
      <c r="Q94" s="245"/>
      <c r="R94" s="249"/>
      <c r="S94" s="249"/>
      <c r="T94" s="247"/>
      <c r="U94" s="245"/>
      <c r="V94" s="249"/>
      <c r="W94" s="249"/>
      <c r="X94" s="249"/>
      <c r="Y94" s="247"/>
      <c r="Z94" s="353"/>
      <c r="AA94" s="354"/>
      <c r="AB94" s="354"/>
      <c r="AC94" s="354"/>
      <c r="AD94" s="355"/>
      <c r="AE94" s="202"/>
    </row>
    <row r="95" spans="1:31" x14ac:dyDescent="0.25">
      <c r="A95" s="189">
        <f t="shared" si="5"/>
        <v>87</v>
      </c>
      <c r="B95" s="112">
        <f t="shared" si="3"/>
        <v>37360.75</v>
      </c>
      <c r="C95" s="112" t="s">
        <v>106</v>
      </c>
      <c r="D95" s="112">
        <f t="shared" si="4"/>
        <v>38620.75</v>
      </c>
      <c r="E95" s="245">
        <f>E93+1</f>
        <v>44</v>
      </c>
      <c r="F95" s="112">
        <f>38248-1193.5+7*E95</f>
        <v>37362.5</v>
      </c>
      <c r="G95" s="55" t="s">
        <v>106</v>
      </c>
      <c r="H95" s="112">
        <f>38248+66.5+7*E95</f>
        <v>38622.5</v>
      </c>
      <c r="I95" s="245"/>
      <c r="J95" s="58"/>
      <c r="K95" s="55"/>
      <c r="L95" s="246"/>
      <c r="M95" s="245"/>
      <c r="N95" s="58"/>
      <c r="O95" s="58"/>
      <c r="P95" s="247"/>
      <c r="Q95" s="245"/>
      <c r="R95" s="249"/>
      <c r="S95" s="249"/>
      <c r="T95" s="247"/>
      <c r="U95" s="245"/>
      <c r="V95" s="249"/>
      <c r="W95" s="249"/>
      <c r="X95" s="249"/>
      <c r="Y95" s="247"/>
      <c r="Z95" s="353"/>
      <c r="AA95" s="354"/>
      <c r="AB95" s="354"/>
      <c r="AC95" s="354"/>
      <c r="AD95" s="355"/>
      <c r="AE95" s="202"/>
    </row>
    <row r="96" spans="1:31" x14ac:dyDescent="0.25">
      <c r="A96" s="189">
        <f t="shared" si="5"/>
        <v>88</v>
      </c>
      <c r="B96" s="112">
        <f t="shared" si="3"/>
        <v>37364.25</v>
      </c>
      <c r="C96" s="112" t="s">
        <v>106</v>
      </c>
      <c r="D96" s="112">
        <f t="shared" si="4"/>
        <v>38624.25</v>
      </c>
      <c r="E96" s="245"/>
      <c r="F96" s="58"/>
      <c r="G96" s="55"/>
      <c r="H96" s="247"/>
      <c r="I96" s="245"/>
      <c r="J96" s="58"/>
      <c r="K96" s="58"/>
      <c r="L96" s="247"/>
      <c r="M96" s="245"/>
      <c r="N96" s="58"/>
      <c r="O96" s="58"/>
      <c r="P96" s="247"/>
      <c r="Q96" s="245">
        <f>Q80+1</f>
        <v>6</v>
      </c>
      <c r="R96" s="112">
        <f>38248-1218+56*Q96</f>
        <v>37366</v>
      </c>
      <c r="S96" s="55" t="s">
        <v>106</v>
      </c>
      <c r="T96" s="112">
        <f>38248+42+56*Q96</f>
        <v>38626</v>
      </c>
      <c r="U96" s="245"/>
      <c r="V96" s="249"/>
      <c r="W96" s="249"/>
      <c r="X96" s="249"/>
      <c r="Y96" s="247"/>
      <c r="Z96" s="353"/>
      <c r="AA96" s="354"/>
      <c r="AB96" s="354"/>
      <c r="AC96" s="354"/>
      <c r="AD96" s="355"/>
      <c r="AE96" s="360" t="s">
        <v>231</v>
      </c>
    </row>
    <row r="97" spans="1:31" x14ac:dyDescent="0.25">
      <c r="A97" s="189">
        <f t="shared" si="5"/>
        <v>89</v>
      </c>
      <c r="B97" s="112">
        <f t="shared" si="3"/>
        <v>37367.75</v>
      </c>
      <c r="C97" s="112" t="s">
        <v>106</v>
      </c>
      <c r="D97" s="112">
        <f t="shared" si="4"/>
        <v>38627.75</v>
      </c>
      <c r="E97" s="245">
        <f>E95+1</f>
        <v>45</v>
      </c>
      <c r="F97" s="112">
        <f>38248-1193.5+7*E97</f>
        <v>37369.5</v>
      </c>
      <c r="G97" s="55" t="s">
        <v>106</v>
      </c>
      <c r="H97" s="112">
        <f>38248+66.5+7*E97</f>
        <v>38629.5</v>
      </c>
      <c r="I97" s="245"/>
      <c r="J97" s="58"/>
      <c r="K97" s="58"/>
      <c r="L97" s="247"/>
      <c r="M97" s="245"/>
      <c r="N97" s="58"/>
      <c r="O97" s="58"/>
      <c r="P97" s="247"/>
      <c r="Q97" s="245"/>
      <c r="R97" s="249"/>
      <c r="S97" s="249"/>
      <c r="T97" s="247"/>
      <c r="U97" s="245"/>
      <c r="V97" s="249"/>
      <c r="W97" s="249"/>
      <c r="X97" s="249"/>
      <c r="Y97" s="247"/>
      <c r="Z97" s="353"/>
      <c r="AA97" s="354"/>
      <c r="AB97" s="354"/>
      <c r="AC97" s="354"/>
      <c r="AD97" s="355"/>
      <c r="AE97" s="636" t="s">
        <v>230</v>
      </c>
    </row>
    <row r="98" spans="1:31" x14ac:dyDescent="0.25">
      <c r="A98" s="189">
        <f t="shared" si="5"/>
        <v>90</v>
      </c>
      <c r="B98" s="112">
        <f t="shared" si="3"/>
        <v>37371.25</v>
      </c>
      <c r="C98" s="112" t="s">
        <v>106</v>
      </c>
      <c r="D98" s="112">
        <f t="shared" si="4"/>
        <v>38631.25</v>
      </c>
      <c r="E98" s="245"/>
      <c r="F98" s="58"/>
      <c r="G98" s="55"/>
      <c r="H98" s="247"/>
      <c r="I98" s="245">
        <f>I94+1</f>
        <v>23</v>
      </c>
      <c r="J98" s="112">
        <f>38248-1197+14*I98</f>
        <v>37373</v>
      </c>
      <c r="K98" s="55" t="s">
        <v>106</v>
      </c>
      <c r="L98" s="112">
        <f>38248+63+14*I98</f>
        <v>38633</v>
      </c>
      <c r="M98" s="245"/>
      <c r="N98" s="58"/>
      <c r="O98" s="58"/>
      <c r="P98" s="247"/>
      <c r="Q98" s="245"/>
      <c r="R98" s="249"/>
      <c r="S98" s="249"/>
      <c r="T98" s="247"/>
      <c r="U98" s="245"/>
      <c r="V98" s="249"/>
      <c r="W98" s="249"/>
      <c r="X98" s="249"/>
      <c r="Y98" s="247"/>
      <c r="Z98" s="353"/>
      <c r="AA98" s="354"/>
      <c r="AB98" s="354"/>
      <c r="AC98" s="354"/>
      <c r="AD98" s="355"/>
      <c r="AE98" s="636"/>
    </row>
    <row r="99" spans="1:31" x14ac:dyDescent="0.25">
      <c r="A99" s="189">
        <f t="shared" si="5"/>
        <v>91</v>
      </c>
      <c r="B99" s="112">
        <f t="shared" si="3"/>
        <v>37374.75</v>
      </c>
      <c r="C99" s="112" t="s">
        <v>106</v>
      </c>
      <c r="D99" s="112">
        <f t="shared" si="4"/>
        <v>38634.75</v>
      </c>
      <c r="E99" s="245">
        <f>E97+1</f>
        <v>46</v>
      </c>
      <c r="F99" s="112">
        <f>38248-1193.5+7*E99</f>
        <v>37376.5</v>
      </c>
      <c r="G99" s="55" t="s">
        <v>106</v>
      </c>
      <c r="H99" s="112">
        <f>38248+66.5+7*E99</f>
        <v>38636.5</v>
      </c>
      <c r="I99" s="245"/>
      <c r="J99" s="58"/>
      <c r="K99" s="55"/>
      <c r="L99" s="246"/>
      <c r="M99" s="245"/>
      <c r="N99" s="58"/>
      <c r="O99" s="58"/>
      <c r="P99" s="247"/>
      <c r="Q99" s="245"/>
      <c r="R99" s="250"/>
      <c r="S99" s="249"/>
      <c r="T99" s="251"/>
      <c r="U99" s="245"/>
      <c r="V99" s="249"/>
      <c r="W99" s="249"/>
      <c r="X99" s="249"/>
      <c r="Y99" s="247"/>
      <c r="Z99" s="353"/>
      <c r="AA99" s="354"/>
      <c r="AB99" s="354"/>
      <c r="AC99" s="354"/>
      <c r="AD99" s="355"/>
      <c r="AE99" s="202"/>
    </row>
    <row r="100" spans="1:31" x14ac:dyDescent="0.25">
      <c r="A100" s="189">
        <f t="shared" si="5"/>
        <v>92</v>
      </c>
      <c r="B100" s="112">
        <f t="shared" si="3"/>
        <v>37378.25</v>
      </c>
      <c r="C100" s="112" t="s">
        <v>106</v>
      </c>
      <c r="D100" s="112">
        <f t="shared" si="4"/>
        <v>38638.25</v>
      </c>
      <c r="E100" s="245"/>
      <c r="F100" s="58"/>
      <c r="G100" s="55"/>
      <c r="H100" s="247"/>
      <c r="I100" s="245"/>
      <c r="J100" s="58"/>
      <c r="K100" s="58"/>
      <c r="L100" s="247"/>
      <c r="M100" s="245">
        <f>M92+1</f>
        <v>12</v>
      </c>
      <c r="N100" s="112">
        <f>38248-1204+28*M100</f>
        <v>37380</v>
      </c>
      <c r="O100" s="55" t="s">
        <v>106</v>
      </c>
      <c r="P100" s="112">
        <f>38248+56+28*M100</f>
        <v>38640</v>
      </c>
      <c r="Q100" s="245"/>
      <c r="R100" s="249"/>
      <c r="S100" s="249"/>
      <c r="T100" s="247"/>
      <c r="U100" s="245"/>
      <c r="V100" s="249"/>
      <c r="W100" s="249"/>
      <c r="X100" s="249"/>
      <c r="Y100" s="247"/>
      <c r="Z100" s="353"/>
      <c r="AA100" s="354"/>
      <c r="AB100" s="354"/>
      <c r="AC100" s="354"/>
      <c r="AD100" s="355"/>
      <c r="AE100" s="202"/>
    </row>
    <row r="101" spans="1:31" x14ac:dyDescent="0.25">
      <c r="A101" s="189">
        <f t="shared" si="5"/>
        <v>93</v>
      </c>
      <c r="B101" s="112">
        <f t="shared" si="3"/>
        <v>37381.75</v>
      </c>
      <c r="C101" s="112" t="s">
        <v>106</v>
      </c>
      <c r="D101" s="112">
        <f t="shared" si="4"/>
        <v>38641.75</v>
      </c>
      <c r="E101" s="245">
        <f>E99+1</f>
        <v>47</v>
      </c>
      <c r="F101" s="112">
        <f>38248-1193.5+7*E101</f>
        <v>37383.5</v>
      </c>
      <c r="G101" s="55" t="s">
        <v>106</v>
      </c>
      <c r="H101" s="112">
        <f>38248+66.5+7*E101</f>
        <v>38643.5</v>
      </c>
      <c r="I101" s="245"/>
      <c r="J101" s="58"/>
      <c r="K101" s="58"/>
      <c r="L101" s="247"/>
      <c r="M101" s="245"/>
      <c r="N101" s="58"/>
      <c r="O101" s="58"/>
      <c r="P101" s="247"/>
      <c r="Q101" s="245"/>
      <c r="R101" s="249"/>
      <c r="S101" s="249"/>
      <c r="T101" s="247"/>
      <c r="U101" s="245"/>
      <c r="V101" s="249"/>
      <c r="W101" s="249"/>
      <c r="X101" s="249"/>
      <c r="Y101" s="247"/>
      <c r="Z101" s="353"/>
      <c r="AA101" s="354"/>
      <c r="AB101" s="354"/>
      <c r="AC101" s="354"/>
      <c r="AD101" s="355"/>
      <c r="AE101" s="202"/>
    </row>
    <row r="102" spans="1:31" x14ac:dyDescent="0.25">
      <c r="A102" s="189">
        <f t="shared" si="5"/>
        <v>94</v>
      </c>
      <c r="B102" s="112">
        <f t="shared" si="3"/>
        <v>37385.25</v>
      </c>
      <c r="C102" s="112" t="s">
        <v>106</v>
      </c>
      <c r="D102" s="112">
        <f t="shared" si="4"/>
        <v>38645.25</v>
      </c>
      <c r="E102" s="245"/>
      <c r="F102" s="58"/>
      <c r="G102" s="55"/>
      <c r="H102" s="247"/>
      <c r="I102" s="245">
        <f>I98+1</f>
        <v>24</v>
      </c>
      <c r="J102" s="112">
        <f>38248-1197+14*I102</f>
        <v>37387</v>
      </c>
      <c r="K102" s="55" t="s">
        <v>106</v>
      </c>
      <c r="L102" s="112">
        <f>38248+63+14*I102</f>
        <v>38647</v>
      </c>
      <c r="M102" s="245"/>
      <c r="N102" s="58"/>
      <c r="O102" s="58"/>
      <c r="P102" s="247"/>
      <c r="Q102" s="245"/>
      <c r="R102" s="250"/>
      <c r="S102" s="250"/>
      <c r="T102" s="251"/>
      <c r="U102" s="245"/>
      <c r="V102" s="249"/>
      <c r="W102" s="249"/>
      <c r="X102" s="249"/>
      <c r="Y102" s="247"/>
      <c r="Z102" s="353"/>
      <c r="AA102" s="354"/>
      <c r="AB102" s="354"/>
      <c r="AC102" s="354"/>
      <c r="AD102" s="355"/>
      <c r="AE102" s="202"/>
    </row>
    <row r="103" spans="1:31" x14ac:dyDescent="0.25">
      <c r="A103" s="189">
        <f t="shared" si="5"/>
        <v>95</v>
      </c>
      <c r="B103" s="112">
        <f t="shared" si="3"/>
        <v>37388.75</v>
      </c>
      <c r="C103" s="112" t="s">
        <v>106</v>
      </c>
      <c r="D103" s="112">
        <f t="shared" si="4"/>
        <v>38648.75</v>
      </c>
      <c r="E103" s="245">
        <f>E101+1</f>
        <v>48</v>
      </c>
      <c r="F103" s="112">
        <f>38248-1193.5+7*E103</f>
        <v>37390.5</v>
      </c>
      <c r="G103" s="55" t="s">
        <v>106</v>
      </c>
      <c r="H103" s="112">
        <f>38248+66.5+7*E103</f>
        <v>38650.5</v>
      </c>
      <c r="I103" s="245"/>
      <c r="J103" s="58"/>
      <c r="K103" s="55"/>
      <c r="L103" s="246"/>
      <c r="M103" s="245"/>
      <c r="N103" s="58"/>
      <c r="O103" s="58"/>
      <c r="P103" s="247"/>
      <c r="Q103" s="245"/>
      <c r="R103" s="249"/>
      <c r="S103" s="249"/>
      <c r="T103" s="247"/>
      <c r="U103" s="245"/>
      <c r="V103" s="249"/>
      <c r="W103" s="249"/>
      <c r="X103" s="249"/>
      <c r="Y103" s="247"/>
      <c r="Z103" s="353"/>
      <c r="AA103" s="354"/>
      <c r="AB103" s="354"/>
      <c r="AC103" s="354"/>
      <c r="AD103" s="355"/>
      <c r="AE103" s="202"/>
    </row>
    <row r="104" spans="1:31" ht="15.75" thickBot="1" x14ac:dyDescent="0.3">
      <c r="A104" s="255">
        <f t="shared" si="5"/>
        <v>96</v>
      </c>
      <c r="B104" s="47">
        <f t="shared" si="3"/>
        <v>37392.25</v>
      </c>
      <c r="C104" s="47" t="s">
        <v>106</v>
      </c>
      <c r="D104" s="47">
        <f t="shared" si="4"/>
        <v>38652.25</v>
      </c>
      <c r="E104" s="254"/>
      <c r="F104" s="68"/>
      <c r="G104" s="65"/>
      <c r="H104" s="251"/>
      <c r="I104" s="254"/>
      <c r="J104" s="68"/>
      <c r="K104" s="68"/>
      <c r="L104" s="251"/>
      <c r="M104" s="254"/>
      <c r="N104" s="68"/>
      <c r="O104" s="68"/>
      <c r="P104" s="251"/>
      <c r="Q104" s="254"/>
      <c r="R104" s="250"/>
      <c r="S104" s="250"/>
      <c r="T104" s="251"/>
      <c r="U104" s="254"/>
      <c r="V104" s="250"/>
      <c r="W104" s="250"/>
      <c r="X104" s="250"/>
      <c r="Y104" s="251"/>
      <c r="Z104" s="645">
        <v>3</v>
      </c>
      <c r="AA104" s="624">
        <f>38248-1190+112*Z104</f>
        <v>37394</v>
      </c>
      <c r="AB104" s="624"/>
      <c r="AC104" s="624">
        <f>38248+70+112*Z104</f>
        <v>38654</v>
      </c>
      <c r="AD104" s="648"/>
      <c r="AE104" s="346"/>
    </row>
    <row r="105" spans="1:31" ht="15.75" thickTop="1" x14ac:dyDescent="0.25">
      <c r="A105" s="721">
        <f t="shared" si="5"/>
        <v>97</v>
      </c>
      <c r="B105" s="655">
        <f t="shared" si="3"/>
        <v>37395.75</v>
      </c>
      <c r="C105" s="655" t="s">
        <v>106</v>
      </c>
      <c r="D105" s="655">
        <f t="shared" si="4"/>
        <v>38655.75</v>
      </c>
      <c r="E105" s="657">
        <f>E103+1</f>
        <v>49</v>
      </c>
      <c r="F105" s="655">
        <f>38248-1193.5+7*E105</f>
        <v>37397.5</v>
      </c>
      <c r="G105" s="722" t="s">
        <v>106</v>
      </c>
      <c r="H105" s="655">
        <f>38248+66.5+7*E105</f>
        <v>38657.5</v>
      </c>
      <c r="I105" s="657"/>
      <c r="J105" s="655"/>
      <c r="K105" s="655"/>
      <c r="L105" s="656"/>
      <c r="M105" s="657"/>
      <c r="N105" s="655"/>
      <c r="O105" s="655"/>
      <c r="P105" s="656"/>
      <c r="Q105" s="657"/>
      <c r="R105" s="660"/>
      <c r="S105" s="660"/>
      <c r="T105" s="656"/>
      <c r="U105" s="657"/>
      <c r="V105" s="660"/>
      <c r="W105" s="660"/>
      <c r="X105" s="660"/>
      <c r="Y105" s="656"/>
      <c r="Z105" s="657"/>
      <c r="AA105" s="660"/>
      <c r="AB105" s="660"/>
      <c r="AC105" s="660"/>
      <c r="AD105" s="656"/>
      <c r="AE105" s="662"/>
    </row>
    <row r="106" spans="1:31" x14ac:dyDescent="0.25">
      <c r="A106" s="606">
        <f t="shared" si="5"/>
        <v>98</v>
      </c>
      <c r="B106" s="617">
        <f t="shared" si="3"/>
        <v>37399.25</v>
      </c>
      <c r="C106" s="617" t="s">
        <v>106</v>
      </c>
      <c r="D106" s="617">
        <f t="shared" si="4"/>
        <v>38659.25</v>
      </c>
      <c r="E106" s="619"/>
      <c r="F106" s="618"/>
      <c r="G106" s="620"/>
      <c r="H106" s="622"/>
      <c r="I106" s="619">
        <f>I102+1</f>
        <v>25</v>
      </c>
      <c r="J106" s="617">
        <f>38248-1197+14*I106</f>
        <v>37401</v>
      </c>
      <c r="K106" s="620" t="s">
        <v>106</v>
      </c>
      <c r="L106" s="617">
        <f>38248+63+14*I106</f>
        <v>38661</v>
      </c>
      <c r="M106" s="619"/>
      <c r="N106" s="618"/>
      <c r="O106" s="618"/>
      <c r="P106" s="622"/>
      <c r="Q106" s="619"/>
      <c r="R106" s="624"/>
      <c r="S106" s="624"/>
      <c r="T106" s="622"/>
      <c r="U106" s="619"/>
      <c r="V106" s="624"/>
      <c r="W106" s="624"/>
      <c r="X106" s="624"/>
      <c r="Y106" s="622"/>
      <c r="Z106" s="619"/>
      <c r="AA106" s="624"/>
      <c r="AB106" s="624"/>
      <c r="AC106" s="624"/>
      <c r="AD106" s="622"/>
      <c r="AE106" s="636"/>
    </row>
    <row r="107" spans="1:31" x14ac:dyDescent="0.25">
      <c r="A107" s="606">
        <f t="shared" si="5"/>
        <v>99</v>
      </c>
      <c r="B107" s="617">
        <f t="shared" si="3"/>
        <v>37402.75</v>
      </c>
      <c r="C107" s="617" t="s">
        <v>106</v>
      </c>
      <c r="D107" s="617">
        <f t="shared" si="4"/>
        <v>38662.75</v>
      </c>
      <c r="E107" s="619">
        <f>E105+1</f>
        <v>50</v>
      </c>
      <c r="F107" s="617">
        <f>38248-1193.5+7*E107</f>
        <v>37404.5</v>
      </c>
      <c r="G107" s="620" t="s">
        <v>106</v>
      </c>
      <c r="H107" s="617">
        <f>38248+66.5+7*E107</f>
        <v>38664.5</v>
      </c>
      <c r="I107" s="619"/>
      <c r="J107" s="618"/>
      <c r="K107" s="620"/>
      <c r="L107" s="621"/>
      <c r="M107" s="619"/>
      <c r="N107" s="618"/>
      <c r="O107" s="618"/>
      <c r="P107" s="622"/>
      <c r="Q107" s="619"/>
      <c r="R107" s="624"/>
      <c r="S107" s="624"/>
      <c r="T107" s="622"/>
      <c r="U107" s="619"/>
      <c r="V107" s="624"/>
      <c r="W107" s="624"/>
      <c r="X107" s="624"/>
      <c r="Y107" s="622"/>
      <c r="Z107" s="619"/>
      <c r="AA107" s="624"/>
      <c r="AB107" s="624"/>
      <c r="AC107" s="624"/>
      <c r="AD107" s="622"/>
      <c r="AE107" s="636"/>
    </row>
    <row r="108" spans="1:31" x14ac:dyDescent="0.25">
      <c r="A108" s="606">
        <f t="shared" si="5"/>
        <v>100</v>
      </c>
      <c r="B108" s="617">
        <f t="shared" si="3"/>
        <v>37406.25</v>
      </c>
      <c r="C108" s="617" t="s">
        <v>106</v>
      </c>
      <c r="D108" s="617">
        <f t="shared" si="4"/>
        <v>38666.25</v>
      </c>
      <c r="E108" s="619"/>
      <c r="F108" s="618"/>
      <c r="G108" s="620"/>
      <c r="H108" s="622"/>
      <c r="I108" s="619"/>
      <c r="J108" s="618"/>
      <c r="K108" s="618"/>
      <c r="L108" s="622"/>
      <c r="M108" s="619">
        <f>M100+1</f>
        <v>13</v>
      </c>
      <c r="N108" s="617">
        <f>38248-1204+28*M108</f>
        <v>37408</v>
      </c>
      <c r="O108" s="620" t="s">
        <v>106</v>
      </c>
      <c r="P108" s="617">
        <f>38248+56+28*M108</f>
        <v>38668</v>
      </c>
      <c r="Q108" s="619"/>
      <c r="R108" s="618"/>
      <c r="S108" s="620"/>
      <c r="T108" s="621"/>
      <c r="U108" s="619"/>
      <c r="V108" s="617"/>
      <c r="W108" s="620"/>
      <c r="X108" s="620"/>
      <c r="Y108" s="617"/>
      <c r="Z108" s="619"/>
      <c r="AA108" s="617"/>
      <c r="AB108" s="620"/>
      <c r="AC108" s="620"/>
      <c r="AD108" s="617"/>
      <c r="AE108" s="636"/>
    </row>
    <row r="109" spans="1:31" x14ac:dyDescent="0.25">
      <c r="A109" s="606">
        <f t="shared" si="5"/>
        <v>101</v>
      </c>
      <c r="B109" s="617">
        <f t="shared" si="3"/>
        <v>37409.75</v>
      </c>
      <c r="C109" s="617" t="s">
        <v>106</v>
      </c>
      <c r="D109" s="617">
        <f t="shared" si="4"/>
        <v>38669.75</v>
      </c>
      <c r="E109" s="619">
        <f>E107+1</f>
        <v>51</v>
      </c>
      <c r="F109" s="617">
        <f>38248-1193.5+7*E109</f>
        <v>37411.5</v>
      </c>
      <c r="G109" s="620" t="s">
        <v>106</v>
      </c>
      <c r="H109" s="617">
        <f>38248+66.5+7*E109</f>
        <v>38671.5</v>
      </c>
      <c r="I109" s="619"/>
      <c r="J109" s="618"/>
      <c r="K109" s="618"/>
      <c r="L109" s="622"/>
      <c r="M109" s="619"/>
      <c r="N109" s="618"/>
      <c r="O109" s="618"/>
      <c r="P109" s="622"/>
      <c r="Q109" s="619"/>
      <c r="R109" s="624"/>
      <c r="S109" s="624"/>
      <c r="T109" s="622"/>
      <c r="U109" s="619"/>
      <c r="V109" s="624"/>
      <c r="W109" s="624"/>
      <c r="X109" s="624"/>
      <c r="Y109" s="622"/>
      <c r="Z109" s="619"/>
      <c r="AA109" s="624"/>
      <c r="AB109" s="624"/>
      <c r="AC109" s="624"/>
      <c r="AD109" s="622"/>
      <c r="AE109" s="636"/>
    </row>
    <row r="110" spans="1:31" x14ac:dyDescent="0.25">
      <c r="A110" s="606">
        <f t="shared" si="5"/>
        <v>102</v>
      </c>
      <c r="B110" s="617">
        <f t="shared" si="3"/>
        <v>37413.25</v>
      </c>
      <c r="C110" s="617" t="s">
        <v>106</v>
      </c>
      <c r="D110" s="617">
        <f t="shared" si="4"/>
        <v>38673.25</v>
      </c>
      <c r="E110" s="619"/>
      <c r="F110" s="618"/>
      <c r="G110" s="620"/>
      <c r="H110" s="622"/>
      <c r="I110" s="619">
        <f>I106+1</f>
        <v>26</v>
      </c>
      <c r="J110" s="617">
        <f>38248-1197+14*I110</f>
        <v>37415</v>
      </c>
      <c r="K110" s="620" t="s">
        <v>106</v>
      </c>
      <c r="L110" s="617">
        <f>38248+63+14*I110</f>
        <v>38675</v>
      </c>
      <c r="M110" s="619"/>
      <c r="N110" s="618"/>
      <c r="O110" s="618"/>
      <c r="P110" s="622"/>
      <c r="Q110" s="619"/>
      <c r="R110" s="624"/>
      <c r="S110" s="624"/>
      <c r="T110" s="622"/>
      <c r="U110" s="619"/>
      <c r="V110" s="624"/>
      <c r="W110" s="624"/>
      <c r="X110" s="624"/>
      <c r="Y110" s="622"/>
      <c r="Z110" s="619"/>
      <c r="AA110" s="624"/>
      <c r="AB110" s="624"/>
      <c r="AC110" s="624"/>
      <c r="AD110" s="622"/>
      <c r="AE110" s="636"/>
    </row>
    <row r="111" spans="1:31" x14ac:dyDescent="0.25">
      <c r="A111" s="606">
        <f t="shared" si="5"/>
        <v>103</v>
      </c>
      <c r="B111" s="617">
        <f t="shared" si="3"/>
        <v>37416.75</v>
      </c>
      <c r="C111" s="617" t="s">
        <v>106</v>
      </c>
      <c r="D111" s="617">
        <f t="shared" si="4"/>
        <v>38676.75</v>
      </c>
      <c r="E111" s="619">
        <f>E109+1</f>
        <v>52</v>
      </c>
      <c r="F111" s="617">
        <f>38248-1193.5+7*E111</f>
        <v>37418.5</v>
      </c>
      <c r="G111" s="620" t="s">
        <v>106</v>
      </c>
      <c r="H111" s="617">
        <f>38248+66.5+7*E111</f>
        <v>38678.5</v>
      </c>
      <c r="I111" s="619"/>
      <c r="J111" s="618"/>
      <c r="K111" s="620"/>
      <c r="L111" s="621"/>
      <c r="M111" s="619"/>
      <c r="N111" s="618"/>
      <c r="O111" s="618"/>
      <c r="P111" s="622"/>
      <c r="Q111" s="619"/>
      <c r="R111" s="624"/>
      <c r="S111" s="624"/>
      <c r="T111" s="622"/>
      <c r="U111" s="619"/>
      <c r="V111" s="624"/>
      <c r="W111" s="624"/>
      <c r="X111" s="624"/>
      <c r="Y111" s="622"/>
      <c r="Z111" s="619"/>
      <c r="AA111" s="624"/>
      <c r="AB111" s="624"/>
      <c r="AC111" s="624"/>
      <c r="AD111" s="622"/>
      <c r="AE111" s="636"/>
    </row>
    <row r="112" spans="1:31" x14ac:dyDescent="0.25">
      <c r="A112" s="606">
        <f t="shared" si="5"/>
        <v>104</v>
      </c>
      <c r="B112" s="617">
        <f t="shared" si="3"/>
        <v>37420.25</v>
      </c>
      <c r="C112" s="617" t="s">
        <v>106</v>
      </c>
      <c r="D112" s="617">
        <f t="shared" si="4"/>
        <v>38680.25</v>
      </c>
      <c r="E112" s="619"/>
      <c r="F112" s="618"/>
      <c r="G112" s="620"/>
      <c r="H112" s="622"/>
      <c r="I112" s="619"/>
      <c r="J112" s="618"/>
      <c r="K112" s="618"/>
      <c r="L112" s="622"/>
      <c r="M112" s="619"/>
      <c r="N112" s="618"/>
      <c r="O112" s="618"/>
      <c r="P112" s="622"/>
      <c r="Q112" s="619">
        <f>Q96+1</f>
        <v>7</v>
      </c>
      <c r="R112" s="617">
        <f>38248-1218+56*Q112</f>
        <v>37422</v>
      </c>
      <c r="S112" s="620" t="s">
        <v>106</v>
      </c>
      <c r="T112" s="617">
        <f>38248+42+56*Q112</f>
        <v>38682</v>
      </c>
      <c r="U112" s="619"/>
      <c r="V112" s="624"/>
      <c r="W112" s="624"/>
      <c r="X112" s="624"/>
      <c r="Y112" s="622"/>
      <c r="Z112" s="619"/>
      <c r="AA112" s="624"/>
      <c r="AB112" s="624"/>
      <c r="AC112" s="624"/>
      <c r="AD112" s="622"/>
      <c r="AE112" s="698"/>
    </row>
    <row r="113" spans="1:31" x14ac:dyDescent="0.25">
      <c r="A113" s="606">
        <f t="shared" si="5"/>
        <v>105</v>
      </c>
      <c r="B113" s="617">
        <f t="shared" si="3"/>
        <v>37423.75</v>
      </c>
      <c r="C113" s="617" t="s">
        <v>106</v>
      </c>
      <c r="D113" s="617">
        <f t="shared" si="4"/>
        <v>38683.75</v>
      </c>
      <c r="E113" s="619">
        <f>E111+1</f>
        <v>53</v>
      </c>
      <c r="F113" s="617">
        <f>38248-1193.5+7*E113</f>
        <v>37425.5</v>
      </c>
      <c r="G113" s="620" t="s">
        <v>106</v>
      </c>
      <c r="H113" s="617">
        <f>38248+66.5+7*E113</f>
        <v>38685.5</v>
      </c>
      <c r="I113" s="619"/>
      <c r="J113" s="618"/>
      <c r="K113" s="618"/>
      <c r="L113" s="622"/>
      <c r="M113" s="619"/>
      <c r="N113" s="618"/>
      <c r="O113" s="618"/>
      <c r="P113" s="622"/>
      <c r="Q113" s="619"/>
      <c r="R113" s="624"/>
      <c r="S113" s="624"/>
      <c r="T113" s="622"/>
      <c r="U113" s="619"/>
      <c r="V113" s="624"/>
      <c r="W113" s="624"/>
      <c r="X113" s="624"/>
      <c r="Y113" s="622"/>
      <c r="Z113" s="619"/>
      <c r="AA113" s="624"/>
      <c r="AB113" s="624"/>
      <c r="AC113" s="624"/>
      <c r="AD113" s="622"/>
      <c r="AE113" s="679"/>
    </row>
    <row r="114" spans="1:31" x14ac:dyDescent="0.25">
      <c r="A114" s="606">
        <f t="shared" si="5"/>
        <v>106</v>
      </c>
      <c r="B114" s="617">
        <f t="shared" si="3"/>
        <v>37427.25</v>
      </c>
      <c r="C114" s="617" t="s">
        <v>106</v>
      </c>
      <c r="D114" s="617">
        <f t="shared" si="4"/>
        <v>38687.25</v>
      </c>
      <c r="E114" s="619"/>
      <c r="F114" s="618"/>
      <c r="G114" s="620"/>
      <c r="H114" s="622"/>
      <c r="I114" s="619">
        <f>I110+1</f>
        <v>27</v>
      </c>
      <c r="J114" s="617">
        <f>38248-1197+14*I114</f>
        <v>37429</v>
      </c>
      <c r="K114" s="620" t="s">
        <v>106</v>
      </c>
      <c r="L114" s="617">
        <f>38248+63+14*I114</f>
        <v>38689</v>
      </c>
      <c r="M114" s="619"/>
      <c r="N114" s="618"/>
      <c r="O114" s="618"/>
      <c r="P114" s="622"/>
      <c r="Q114" s="619"/>
      <c r="R114" s="624"/>
      <c r="S114" s="624"/>
      <c r="T114" s="622"/>
      <c r="U114" s="619"/>
      <c r="V114" s="624"/>
      <c r="W114" s="624"/>
      <c r="X114" s="624"/>
      <c r="Y114" s="622"/>
      <c r="Z114" s="619"/>
      <c r="AA114" s="624"/>
      <c r="AB114" s="624"/>
      <c r="AC114" s="624"/>
      <c r="AD114" s="622"/>
      <c r="AE114" s="636" t="s">
        <v>180</v>
      </c>
    </row>
    <row r="115" spans="1:31" x14ac:dyDescent="0.25">
      <c r="A115" s="606">
        <f t="shared" si="5"/>
        <v>107</v>
      </c>
      <c r="B115" s="617">
        <f t="shared" si="3"/>
        <v>37430.75</v>
      </c>
      <c r="C115" s="617" t="s">
        <v>106</v>
      </c>
      <c r="D115" s="617">
        <f t="shared" si="4"/>
        <v>38690.75</v>
      </c>
      <c r="E115" s="619">
        <f>E113+1</f>
        <v>54</v>
      </c>
      <c r="F115" s="617">
        <f>38248-1193.5+7*E115</f>
        <v>37432.5</v>
      </c>
      <c r="G115" s="620" t="s">
        <v>106</v>
      </c>
      <c r="H115" s="617">
        <f>38248+66.5+7*E115</f>
        <v>38692.5</v>
      </c>
      <c r="I115" s="619"/>
      <c r="J115" s="618"/>
      <c r="K115" s="620"/>
      <c r="L115" s="621"/>
      <c r="M115" s="619"/>
      <c r="N115" s="618"/>
      <c r="O115" s="618"/>
      <c r="P115" s="622"/>
      <c r="Q115" s="619"/>
      <c r="R115" s="647"/>
      <c r="S115" s="624"/>
      <c r="T115" s="648"/>
      <c r="U115" s="619"/>
      <c r="V115" s="624"/>
      <c r="W115" s="624"/>
      <c r="X115" s="624"/>
      <c r="Y115" s="622"/>
      <c r="Z115" s="619"/>
      <c r="AA115" s="624"/>
      <c r="AB115" s="624"/>
      <c r="AC115" s="624"/>
      <c r="AD115" s="622"/>
      <c r="AE115" s="636"/>
    </row>
    <row r="116" spans="1:31" x14ac:dyDescent="0.25">
      <c r="A116" s="606">
        <f t="shared" si="5"/>
        <v>108</v>
      </c>
      <c r="B116" s="617">
        <f t="shared" si="3"/>
        <v>37434.25</v>
      </c>
      <c r="C116" s="617" t="s">
        <v>106</v>
      </c>
      <c r="D116" s="617">
        <f t="shared" si="4"/>
        <v>38694.25</v>
      </c>
      <c r="E116" s="619"/>
      <c r="F116" s="618"/>
      <c r="G116" s="620"/>
      <c r="H116" s="622"/>
      <c r="I116" s="619"/>
      <c r="J116" s="618"/>
      <c r="K116" s="618"/>
      <c r="L116" s="622"/>
      <c r="M116" s="619">
        <f>M108+1</f>
        <v>14</v>
      </c>
      <c r="N116" s="617">
        <f>38248-1204+28*M116</f>
        <v>37436</v>
      </c>
      <c r="O116" s="620" t="s">
        <v>106</v>
      </c>
      <c r="P116" s="617">
        <f>38248+56+28*M116</f>
        <v>38696</v>
      </c>
      <c r="Q116" s="619"/>
      <c r="R116" s="624"/>
      <c r="S116" s="624"/>
      <c r="T116" s="622"/>
      <c r="U116" s="619"/>
      <c r="V116" s="624"/>
      <c r="W116" s="624"/>
      <c r="X116" s="624"/>
      <c r="Y116" s="622"/>
      <c r="Z116" s="619"/>
      <c r="AA116" s="624"/>
      <c r="AB116" s="624"/>
      <c r="AC116" s="624"/>
      <c r="AD116" s="622"/>
      <c r="AE116" s="636"/>
    </row>
    <row r="117" spans="1:31" x14ac:dyDescent="0.25">
      <c r="A117" s="606">
        <f t="shared" si="5"/>
        <v>109</v>
      </c>
      <c r="B117" s="617">
        <f t="shared" si="3"/>
        <v>37437.75</v>
      </c>
      <c r="C117" s="617" t="s">
        <v>106</v>
      </c>
      <c r="D117" s="617">
        <f t="shared" si="4"/>
        <v>38697.75</v>
      </c>
      <c r="E117" s="619">
        <f>E115+1</f>
        <v>55</v>
      </c>
      <c r="F117" s="617">
        <f>38248-1193.5+7*E117</f>
        <v>37439.5</v>
      </c>
      <c r="G117" s="620" t="s">
        <v>106</v>
      </c>
      <c r="H117" s="617">
        <f>38248+66.5+7*E117</f>
        <v>38699.5</v>
      </c>
      <c r="I117" s="619"/>
      <c r="J117" s="618"/>
      <c r="K117" s="618"/>
      <c r="L117" s="622"/>
      <c r="M117" s="619"/>
      <c r="N117" s="618"/>
      <c r="O117" s="618"/>
      <c r="P117" s="622"/>
      <c r="Q117" s="619"/>
      <c r="R117" s="624"/>
      <c r="S117" s="624"/>
      <c r="T117" s="622"/>
      <c r="U117" s="619"/>
      <c r="V117" s="624"/>
      <c r="W117" s="624"/>
      <c r="X117" s="624"/>
      <c r="Y117" s="622"/>
      <c r="Z117" s="619"/>
      <c r="AA117" s="624"/>
      <c r="AB117" s="624"/>
      <c r="AC117" s="624"/>
      <c r="AD117" s="622"/>
      <c r="AE117" s="636"/>
    </row>
    <row r="118" spans="1:31" x14ac:dyDescent="0.25">
      <c r="A118" s="606">
        <f t="shared" si="5"/>
        <v>110</v>
      </c>
      <c r="B118" s="617">
        <f t="shared" si="3"/>
        <v>37441.25</v>
      </c>
      <c r="C118" s="617" t="s">
        <v>106</v>
      </c>
      <c r="D118" s="617">
        <f t="shared" si="4"/>
        <v>38701.25</v>
      </c>
      <c r="E118" s="619"/>
      <c r="F118" s="618"/>
      <c r="G118" s="620"/>
      <c r="H118" s="622"/>
      <c r="I118" s="619">
        <f>I114+1</f>
        <v>28</v>
      </c>
      <c r="J118" s="617">
        <f>38248-1197+14*I118</f>
        <v>37443</v>
      </c>
      <c r="K118" s="620" t="s">
        <v>106</v>
      </c>
      <c r="L118" s="617">
        <f>38248+63+14*I118</f>
        <v>38703</v>
      </c>
      <c r="M118" s="619"/>
      <c r="N118" s="618"/>
      <c r="O118" s="618"/>
      <c r="P118" s="622"/>
      <c r="Q118" s="619"/>
      <c r="R118" s="647"/>
      <c r="S118" s="647"/>
      <c r="T118" s="648"/>
      <c r="U118" s="619"/>
      <c r="V118" s="624"/>
      <c r="W118" s="624"/>
      <c r="X118" s="624"/>
      <c r="Y118" s="622"/>
      <c r="Z118" s="619"/>
      <c r="AA118" s="624"/>
      <c r="AB118" s="624"/>
      <c r="AC118" s="624"/>
      <c r="AD118" s="622"/>
      <c r="AE118" s="636"/>
    </row>
    <row r="119" spans="1:31" x14ac:dyDescent="0.25">
      <c r="A119" s="642">
        <f t="shared" si="5"/>
        <v>111</v>
      </c>
      <c r="B119" s="673">
        <f t="shared" si="3"/>
        <v>37444.75</v>
      </c>
      <c r="C119" s="673" t="s">
        <v>106</v>
      </c>
      <c r="D119" s="673">
        <f t="shared" si="4"/>
        <v>38704.75</v>
      </c>
      <c r="E119" s="645">
        <f>E117+1</f>
        <v>56</v>
      </c>
      <c r="F119" s="673">
        <f>38248-1193.5+7*E119</f>
        <v>37446.5</v>
      </c>
      <c r="G119" s="644" t="s">
        <v>106</v>
      </c>
      <c r="H119" s="673">
        <f>38248+66.5+7*E119</f>
        <v>38706.5</v>
      </c>
      <c r="I119" s="645"/>
      <c r="J119" s="643"/>
      <c r="K119" s="644"/>
      <c r="L119" s="674"/>
      <c r="M119" s="645"/>
      <c r="N119" s="643"/>
      <c r="O119" s="643"/>
      <c r="P119" s="648"/>
      <c r="Q119" s="645"/>
      <c r="R119" s="647"/>
      <c r="S119" s="647"/>
      <c r="T119" s="648"/>
      <c r="U119" s="645"/>
      <c r="V119" s="624"/>
      <c r="W119" s="647"/>
      <c r="X119" s="624"/>
      <c r="Y119" s="648"/>
      <c r="Z119" s="645"/>
      <c r="AA119" s="624"/>
      <c r="AB119" s="647"/>
      <c r="AC119" s="624"/>
      <c r="AD119" s="648"/>
      <c r="AE119" s="651"/>
    </row>
    <row r="120" spans="1:31" ht="15.75" thickBot="1" x14ac:dyDescent="0.3">
      <c r="A120" s="642">
        <f t="shared" si="5"/>
        <v>112</v>
      </c>
      <c r="B120" s="643">
        <f t="shared" si="3"/>
        <v>37448.25</v>
      </c>
      <c r="C120" s="643" t="s">
        <v>106</v>
      </c>
      <c r="D120" s="643">
        <f t="shared" si="4"/>
        <v>38708.25</v>
      </c>
      <c r="E120" s="645"/>
      <c r="F120" s="643"/>
      <c r="G120" s="644"/>
      <c r="H120" s="648"/>
      <c r="I120" s="645"/>
      <c r="J120" s="643"/>
      <c r="K120" s="643"/>
      <c r="L120" s="648"/>
      <c r="M120" s="645"/>
      <c r="N120" s="643"/>
      <c r="O120" s="643"/>
      <c r="P120" s="648"/>
      <c r="Q120" s="645"/>
      <c r="R120" s="647"/>
      <c r="S120" s="647"/>
      <c r="T120" s="648"/>
      <c r="U120" s="675">
        <v>4</v>
      </c>
      <c r="V120" s="617">
        <f>38248-1246+112*U120</f>
        <v>37450</v>
      </c>
      <c r="W120" s="719" t="s">
        <v>106</v>
      </c>
      <c r="X120" s="617">
        <f>38248+14+112*U120</f>
        <v>38710</v>
      </c>
      <c r="Y120" s="648"/>
      <c r="Z120" s="675"/>
      <c r="AA120" s="617"/>
      <c r="AB120" s="719"/>
      <c r="AC120" s="617"/>
      <c r="AD120" s="719"/>
      <c r="AE120" s="651"/>
    </row>
    <row r="121" spans="1:31" ht="15.75" thickTop="1" x14ac:dyDescent="0.25">
      <c r="A121" s="721">
        <f t="shared" si="5"/>
        <v>113</v>
      </c>
      <c r="B121" s="655">
        <f t="shared" si="3"/>
        <v>37451.75</v>
      </c>
      <c r="C121" s="655" t="s">
        <v>106</v>
      </c>
      <c r="D121" s="655">
        <f t="shared" si="4"/>
        <v>38711.75</v>
      </c>
      <c r="E121" s="657">
        <f>E119+1</f>
        <v>57</v>
      </c>
      <c r="F121" s="655">
        <f>38248-1193.5+7*E121</f>
        <v>37453.5</v>
      </c>
      <c r="G121" s="722" t="s">
        <v>106</v>
      </c>
      <c r="H121" s="655">
        <f>38248+66.5+7*E121</f>
        <v>38713.5</v>
      </c>
      <c r="I121" s="657"/>
      <c r="J121" s="655"/>
      <c r="K121" s="655"/>
      <c r="L121" s="656"/>
      <c r="M121" s="657"/>
      <c r="N121" s="655"/>
      <c r="O121" s="655"/>
      <c r="P121" s="656"/>
      <c r="Q121" s="657"/>
      <c r="R121" s="660"/>
      <c r="S121" s="660"/>
      <c r="T121" s="656"/>
      <c r="U121" s="657"/>
      <c r="V121" s="660"/>
      <c r="W121" s="660"/>
      <c r="X121" s="660"/>
      <c r="Y121" s="656"/>
      <c r="Z121" s="657"/>
      <c r="AA121" s="660"/>
      <c r="AB121" s="660"/>
      <c r="AC121" s="660"/>
      <c r="AD121" s="656"/>
      <c r="AE121" s="662"/>
    </row>
    <row r="122" spans="1:31" x14ac:dyDescent="0.25">
      <c r="A122" s="606">
        <f t="shared" si="5"/>
        <v>114</v>
      </c>
      <c r="B122" s="617">
        <f t="shared" si="3"/>
        <v>37455.25</v>
      </c>
      <c r="C122" s="617" t="s">
        <v>106</v>
      </c>
      <c r="D122" s="617">
        <f t="shared" si="4"/>
        <v>38715.25</v>
      </c>
      <c r="E122" s="619"/>
      <c r="F122" s="618"/>
      <c r="G122" s="620"/>
      <c r="H122" s="622"/>
      <c r="I122" s="619">
        <f>I118+1</f>
        <v>29</v>
      </c>
      <c r="J122" s="617">
        <f>38248-1197+14*I122</f>
        <v>37457</v>
      </c>
      <c r="K122" s="620" t="s">
        <v>106</v>
      </c>
      <c r="L122" s="617">
        <f>38248+63+14*I122</f>
        <v>38717</v>
      </c>
      <c r="M122" s="619"/>
      <c r="N122" s="618"/>
      <c r="O122" s="618"/>
      <c r="P122" s="622"/>
      <c r="Q122" s="619"/>
      <c r="R122" s="624"/>
      <c r="S122" s="624"/>
      <c r="T122" s="622"/>
      <c r="U122" s="619"/>
      <c r="V122" s="624"/>
      <c r="W122" s="624"/>
      <c r="X122" s="624"/>
      <c r="Y122" s="622"/>
      <c r="Z122" s="619"/>
      <c r="AA122" s="624"/>
      <c r="AB122" s="624"/>
      <c r="AC122" s="624"/>
      <c r="AD122" s="622"/>
      <c r="AE122" s="636"/>
    </row>
    <row r="123" spans="1:31" x14ac:dyDescent="0.25">
      <c r="A123" s="606">
        <f t="shared" si="5"/>
        <v>115</v>
      </c>
      <c r="B123" s="617">
        <f t="shared" si="3"/>
        <v>37458.75</v>
      </c>
      <c r="C123" s="617" t="s">
        <v>106</v>
      </c>
      <c r="D123" s="617">
        <f t="shared" si="4"/>
        <v>38718.75</v>
      </c>
      <c r="E123" s="619">
        <f>E121+1</f>
        <v>58</v>
      </c>
      <c r="F123" s="617">
        <f>38248-1193.5+7*E123</f>
        <v>37460.5</v>
      </c>
      <c r="G123" s="620" t="s">
        <v>106</v>
      </c>
      <c r="H123" s="617">
        <f>38248+66.5+7*E123</f>
        <v>38720.5</v>
      </c>
      <c r="I123" s="619"/>
      <c r="J123" s="618"/>
      <c r="K123" s="620"/>
      <c r="L123" s="621"/>
      <c r="M123" s="619"/>
      <c r="N123" s="618"/>
      <c r="O123" s="618"/>
      <c r="P123" s="622"/>
      <c r="Q123" s="619"/>
      <c r="R123" s="624"/>
      <c r="S123" s="624"/>
      <c r="T123" s="622"/>
      <c r="U123" s="619"/>
      <c r="V123" s="624"/>
      <c r="W123" s="624"/>
      <c r="X123" s="624"/>
      <c r="Y123" s="622"/>
      <c r="Z123" s="619"/>
      <c r="AA123" s="624"/>
      <c r="AB123" s="624"/>
      <c r="AC123" s="624"/>
      <c r="AD123" s="622"/>
      <c r="AE123" s="636"/>
    </row>
    <row r="124" spans="1:31" x14ac:dyDescent="0.25">
      <c r="A124" s="606">
        <f t="shared" si="5"/>
        <v>116</v>
      </c>
      <c r="B124" s="617">
        <f t="shared" si="3"/>
        <v>37462.25</v>
      </c>
      <c r="C124" s="617" t="s">
        <v>106</v>
      </c>
      <c r="D124" s="617">
        <f t="shared" si="4"/>
        <v>38722.25</v>
      </c>
      <c r="E124" s="619"/>
      <c r="F124" s="618"/>
      <c r="G124" s="620"/>
      <c r="H124" s="622"/>
      <c r="I124" s="619"/>
      <c r="J124" s="618"/>
      <c r="K124" s="618"/>
      <c r="L124" s="622"/>
      <c r="M124" s="619">
        <f>M116+1</f>
        <v>15</v>
      </c>
      <c r="N124" s="617">
        <f>38248-1204+28*M124</f>
        <v>37464</v>
      </c>
      <c r="O124" s="620" t="s">
        <v>106</v>
      </c>
      <c r="P124" s="617">
        <f>38248+56+28*M124</f>
        <v>38724</v>
      </c>
      <c r="Q124" s="619"/>
      <c r="R124" s="618"/>
      <c r="S124" s="620"/>
      <c r="T124" s="621"/>
      <c r="U124" s="619"/>
      <c r="V124" s="618"/>
      <c r="W124" s="620"/>
      <c r="X124" s="620"/>
      <c r="Y124" s="621"/>
      <c r="Z124" s="619"/>
      <c r="AA124" s="618"/>
      <c r="AB124" s="620"/>
      <c r="AC124" s="620"/>
      <c r="AD124" s="621"/>
      <c r="AE124" s="636"/>
    </row>
    <row r="125" spans="1:31" x14ac:dyDescent="0.25">
      <c r="A125" s="606">
        <f t="shared" si="5"/>
        <v>117</v>
      </c>
      <c r="B125" s="617">
        <f t="shared" si="3"/>
        <v>37465.75</v>
      </c>
      <c r="C125" s="617" t="s">
        <v>106</v>
      </c>
      <c r="D125" s="617">
        <f t="shared" si="4"/>
        <v>38725.75</v>
      </c>
      <c r="E125" s="619">
        <f>E123+1</f>
        <v>59</v>
      </c>
      <c r="F125" s="617">
        <f>38248-1193.5+7*E125</f>
        <v>37467.5</v>
      </c>
      <c r="G125" s="620" t="s">
        <v>106</v>
      </c>
      <c r="H125" s="617">
        <f>38248+66.5+7*E125</f>
        <v>38727.5</v>
      </c>
      <c r="I125" s="619"/>
      <c r="J125" s="618"/>
      <c r="K125" s="618"/>
      <c r="L125" s="622"/>
      <c r="M125" s="619"/>
      <c r="N125" s="618"/>
      <c r="O125" s="618"/>
      <c r="P125" s="622"/>
      <c r="Q125" s="619"/>
      <c r="R125" s="624"/>
      <c r="S125" s="624"/>
      <c r="T125" s="622"/>
      <c r="U125" s="619"/>
      <c r="V125" s="624"/>
      <c r="W125" s="624"/>
      <c r="X125" s="624"/>
      <c r="Y125" s="622"/>
      <c r="Z125" s="619"/>
      <c r="AA125" s="624"/>
      <c r="AB125" s="624"/>
      <c r="AC125" s="624"/>
      <c r="AD125" s="622"/>
      <c r="AE125" s="636"/>
    </row>
    <row r="126" spans="1:31" x14ac:dyDescent="0.25">
      <c r="A126" s="606">
        <f t="shared" si="5"/>
        <v>118</v>
      </c>
      <c r="B126" s="617">
        <f t="shared" si="3"/>
        <v>37469.25</v>
      </c>
      <c r="C126" s="617" t="s">
        <v>106</v>
      </c>
      <c r="D126" s="617">
        <f t="shared" si="4"/>
        <v>38729.25</v>
      </c>
      <c r="E126" s="619"/>
      <c r="F126" s="618"/>
      <c r="G126" s="620"/>
      <c r="H126" s="622"/>
      <c r="I126" s="619">
        <f>I122+1</f>
        <v>30</v>
      </c>
      <c r="J126" s="617">
        <f>38248-1197+14*I126</f>
        <v>37471</v>
      </c>
      <c r="K126" s="620" t="s">
        <v>106</v>
      </c>
      <c r="L126" s="617">
        <f>38248+63+14*I126</f>
        <v>38731</v>
      </c>
      <c r="M126" s="619"/>
      <c r="N126" s="618"/>
      <c r="O126" s="618"/>
      <c r="P126" s="622"/>
      <c r="Q126" s="619"/>
      <c r="R126" s="624"/>
      <c r="S126" s="624"/>
      <c r="T126" s="622"/>
      <c r="U126" s="619"/>
      <c r="V126" s="624"/>
      <c r="W126" s="624"/>
      <c r="X126" s="624"/>
      <c r="Y126" s="622"/>
      <c r="Z126" s="619"/>
      <c r="AA126" s="624"/>
      <c r="AB126" s="624"/>
      <c r="AC126" s="624"/>
      <c r="AD126" s="622"/>
      <c r="AE126" s="636"/>
    </row>
    <row r="127" spans="1:31" x14ac:dyDescent="0.25">
      <c r="A127" s="606">
        <f t="shared" si="5"/>
        <v>119</v>
      </c>
      <c r="B127" s="617">
        <f t="shared" si="3"/>
        <v>37472.75</v>
      </c>
      <c r="C127" s="617" t="s">
        <v>106</v>
      </c>
      <c r="D127" s="617">
        <f t="shared" si="4"/>
        <v>38732.75</v>
      </c>
      <c r="E127" s="619">
        <f>E125+1</f>
        <v>60</v>
      </c>
      <c r="F127" s="617">
        <f>38248-1193.5+7*E127</f>
        <v>37474.5</v>
      </c>
      <c r="G127" s="620" t="s">
        <v>106</v>
      </c>
      <c r="H127" s="617">
        <f>38248+66.5+7*E127</f>
        <v>38734.5</v>
      </c>
      <c r="I127" s="619"/>
      <c r="J127" s="618"/>
      <c r="K127" s="620"/>
      <c r="L127" s="621"/>
      <c r="M127" s="619"/>
      <c r="N127" s="618"/>
      <c r="O127" s="618"/>
      <c r="P127" s="622"/>
      <c r="Q127" s="619"/>
      <c r="R127" s="624"/>
      <c r="S127" s="624"/>
      <c r="T127" s="622"/>
      <c r="U127" s="619"/>
      <c r="V127" s="624"/>
      <c r="W127" s="624"/>
      <c r="X127" s="624"/>
      <c r="Y127" s="622"/>
      <c r="Z127" s="619"/>
      <c r="AA127" s="624"/>
      <c r="AB127" s="624"/>
      <c r="AC127" s="624"/>
      <c r="AD127" s="622"/>
      <c r="AE127" s="636"/>
    </row>
    <row r="128" spans="1:31" x14ac:dyDescent="0.25">
      <c r="A128" s="606">
        <f t="shared" si="5"/>
        <v>120</v>
      </c>
      <c r="B128" s="617">
        <f t="shared" si="3"/>
        <v>37476.25</v>
      </c>
      <c r="C128" s="617" t="s">
        <v>106</v>
      </c>
      <c r="D128" s="617">
        <f t="shared" si="4"/>
        <v>38736.25</v>
      </c>
      <c r="E128" s="619"/>
      <c r="F128" s="618"/>
      <c r="G128" s="620"/>
      <c r="H128" s="622"/>
      <c r="I128" s="619"/>
      <c r="J128" s="618"/>
      <c r="K128" s="618"/>
      <c r="L128" s="622"/>
      <c r="M128" s="619"/>
      <c r="N128" s="618"/>
      <c r="O128" s="618"/>
      <c r="P128" s="622"/>
      <c r="Q128" s="619">
        <f>Q112+1</f>
        <v>8</v>
      </c>
      <c r="R128" s="617">
        <f>38248-1218+56*Q128</f>
        <v>37478</v>
      </c>
      <c r="S128" s="620" t="s">
        <v>106</v>
      </c>
      <c r="T128" s="617">
        <f>38248+42+56*Q128</f>
        <v>38738</v>
      </c>
      <c r="U128" s="619"/>
      <c r="V128" s="624"/>
      <c r="W128" s="624"/>
      <c r="X128" s="624"/>
      <c r="Y128" s="622"/>
      <c r="Z128" s="619"/>
      <c r="AA128" s="624"/>
      <c r="AB128" s="624"/>
      <c r="AC128" s="624"/>
      <c r="AD128" s="622"/>
      <c r="AE128" s="636" t="s">
        <v>180</v>
      </c>
    </row>
    <row r="129" spans="1:31" x14ac:dyDescent="0.25">
      <c r="A129" s="606">
        <f t="shared" si="5"/>
        <v>121</v>
      </c>
      <c r="B129" s="617">
        <f t="shared" si="3"/>
        <v>37479.75</v>
      </c>
      <c r="C129" s="617" t="s">
        <v>106</v>
      </c>
      <c r="D129" s="617">
        <f t="shared" si="4"/>
        <v>38739.75</v>
      </c>
      <c r="E129" s="619">
        <f>E127+1</f>
        <v>61</v>
      </c>
      <c r="F129" s="617">
        <f>38248-1193.5+7*E129</f>
        <v>37481.5</v>
      </c>
      <c r="G129" s="620" t="s">
        <v>106</v>
      </c>
      <c r="H129" s="617">
        <f>38248+66.5+7*E129</f>
        <v>38741.5</v>
      </c>
      <c r="I129" s="619"/>
      <c r="J129" s="618"/>
      <c r="K129" s="618"/>
      <c r="L129" s="622"/>
      <c r="M129" s="619"/>
      <c r="N129" s="618"/>
      <c r="O129" s="618"/>
      <c r="P129" s="622"/>
      <c r="Q129" s="619"/>
      <c r="R129" s="624"/>
      <c r="S129" s="624"/>
      <c r="T129" s="622"/>
      <c r="U129" s="619"/>
      <c r="V129" s="624"/>
      <c r="W129" s="624"/>
      <c r="X129" s="624"/>
      <c r="Y129" s="622"/>
      <c r="Z129" s="619"/>
      <c r="AA129" s="624"/>
      <c r="AB129" s="624"/>
      <c r="AC129" s="624"/>
      <c r="AD129" s="622"/>
      <c r="AE129" s="698"/>
    </row>
    <row r="130" spans="1:31" x14ac:dyDescent="0.25">
      <c r="A130" s="606">
        <f t="shared" si="5"/>
        <v>122</v>
      </c>
      <c r="B130" s="617">
        <f t="shared" si="3"/>
        <v>37483.25</v>
      </c>
      <c r="C130" s="617" t="s">
        <v>106</v>
      </c>
      <c r="D130" s="617">
        <f t="shared" si="4"/>
        <v>38743.25</v>
      </c>
      <c r="E130" s="619"/>
      <c r="F130" s="618"/>
      <c r="G130" s="620"/>
      <c r="H130" s="622"/>
      <c r="I130" s="619">
        <f>I126+1</f>
        <v>31</v>
      </c>
      <c r="J130" s="617">
        <f>38248-1197+14*I130</f>
        <v>37485</v>
      </c>
      <c r="K130" s="620" t="s">
        <v>106</v>
      </c>
      <c r="L130" s="617">
        <f>38248+63+14*I130</f>
        <v>38745</v>
      </c>
      <c r="M130" s="619"/>
      <c r="N130" s="618"/>
      <c r="O130" s="618"/>
      <c r="P130" s="622"/>
      <c r="Q130" s="619"/>
      <c r="R130" s="624"/>
      <c r="S130" s="624"/>
      <c r="T130" s="622"/>
      <c r="U130" s="619"/>
      <c r="V130" s="624"/>
      <c r="W130" s="624"/>
      <c r="X130" s="624"/>
      <c r="Y130" s="622"/>
      <c r="Z130" s="619"/>
      <c r="AA130" s="624"/>
      <c r="AB130" s="624"/>
      <c r="AC130" s="624"/>
      <c r="AD130" s="622"/>
      <c r="AE130" s="679"/>
    </row>
    <row r="131" spans="1:31" x14ac:dyDescent="0.25">
      <c r="A131" s="606">
        <f t="shared" si="5"/>
        <v>123</v>
      </c>
      <c r="B131" s="617">
        <f t="shared" si="3"/>
        <v>37486.75</v>
      </c>
      <c r="C131" s="617" t="s">
        <v>106</v>
      </c>
      <c r="D131" s="617">
        <f t="shared" si="4"/>
        <v>38746.75</v>
      </c>
      <c r="E131" s="619">
        <f>E129+1</f>
        <v>62</v>
      </c>
      <c r="F131" s="617">
        <f>38248-1193.5+7*E131</f>
        <v>37488.5</v>
      </c>
      <c r="G131" s="620" t="s">
        <v>106</v>
      </c>
      <c r="H131" s="617">
        <f>38248+66.5+7*E131</f>
        <v>38748.5</v>
      </c>
      <c r="I131" s="619"/>
      <c r="J131" s="618"/>
      <c r="K131" s="620"/>
      <c r="L131" s="621"/>
      <c r="M131" s="619"/>
      <c r="N131" s="618"/>
      <c r="O131" s="618"/>
      <c r="P131" s="622"/>
      <c r="Q131" s="619"/>
      <c r="R131" s="647"/>
      <c r="S131" s="624"/>
      <c r="T131" s="648"/>
      <c r="U131" s="619"/>
      <c r="V131" s="624"/>
      <c r="W131" s="624"/>
      <c r="X131" s="624"/>
      <c r="Y131" s="622"/>
      <c r="Z131" s="619"/>
      <c r="AA131" s="624"/>
      <c r="AB131" s="624"/>
      <c r="AC131" s="624"/>
      <c r="AD131" s="622"/>
      <c r="AE131" s="679"/>
    </row>
    <row r="132" spans="1:31" x14ac:dyDescent="0.25">
      <c r="A132" s="606">
        <f t="shared" si="5"/>
        <v>124</v>
      </c>
      <c r="B132" s="617">
        <f t="shared" si="3"/>
        <v>37490.25</v>
      </c>
      <c r="C132" s="617" t="s">
        <v>106</v>
      </c>
      <c r="D132" s="617">
        <f t="shared" si="4"/>
        <v>38750.25</v>
      </c>
      <c r="E132" s="619"/>
      <c r="F132" s="618"/>
      <c r="G132" s="620"/>
      <c r="H132" s="622"/>
      <c r="I132" s="619"/>
      <c r="J132" s="618"/>
      <c r="K132" s="618"/>
      <c r="L132" s="622"/>
      <c r="M132" s="619">
        <f>M124+1</f>
        <v>16</v>
      </c>
      <c r="N132" s="617">
        <f>38248-1204+28*M132</f>
        <v>37492</v>
      </c>
      <c r="O132" s="620" t="s">
        <v>106</v>
      </c>
      <c r="P132" s="617">
        <f>38248+56+28*M132</f>
        <v>38752</v>
      </c>
      <c r="Q132" s="619"/>
      <c r="R132" s="624"/>
      <c r="S132" s="624"/>
      <c r="T132" s="622"/>
      <c r="U132" s="619"/>
      <c r="V132" s="624"/>
      <c r="W132" s="624"/>
      <c r="X132" s="624"/>
      <c r="Y132" s="622"/>
      <c r="Z132" s="619"/>
      <c r="AA132" s="624"/>
      <c r="AB132" s="624"/>
      <c r="AC132" s="624"/>
      <c r="AD132" s="622"/>
      <c r="AE132" s="679"/>
    </row>
    <row r="133" spans="1:31" x14ac:dyDescent="0.25">
      <c r="A133" s="606">
        <f t="shared" si="5"/>
        <v>125</v>
      </c>
      <c r="B133" s="617">
        <f t="shared" si="3"/>
        <v>37493.75</v>
      </c>
      <c r="C133" s="617" t="s">
        <v>106</v>
      </c>
      <c r="D133" s="617">
        <f t="shared" si="4"/>
        <v>38753.75</v>
      </c>
      <c r="E133" s="619">
        <f>E131+1</f>
        <v>63</v>
      </c>
      <c r="F133" s="617">
        <f>38248-1193.5+7*E133</f>
        <v>37495.5</v>
      </c>
      <c r="G133" s="620" t="s">
        <v>106</v>
      </c>
      <c r="H133" s="617">
        <f>38248+66.5+7*E133</f>
        <v>38755.5</v>
      </c>
      <c r="I133" s="619"/>
      <c r="J133" s="618"/>
      <c r="K133" s="618"/>
      <c r="L133" s="622"/>
      <c r="M133" s="619"/>
      <c r="N133" s="618"/>
      <c r="O133" s="618"/>
      <c r="P133" s="622"/>
      <c r="Q133" s="619"/>
      <c r="R133" s="624"/>
      <c r="S133" s="624"/>
      <c r="T133" s="622"/>
      <c r="U133" s="619"/>
      <c r="V133" s="624"/>
      <c r="W133" s="624"/>
      <c r="X133" s="624"/>
      <c r="Y133" s="622"/>
      <c r="Z133" s="619"/>
      <c r="AA133" s="624"/>
      <c r="AB133" s="624"/>
      <c r="AC133" s="624"/>
      <c r="AD133" s="622"/>
      <c r="AE133" s="679"/>
    </row>
    <row r="134" spans="1:31" x14ac:dyDescent="0.25">
      <c r="A134" s="606">
        <f t="shared" si="5"/>
        <v>126</v>
      </c>
      <c r="B134" s="617">
        <f t="shared" si="3"/>
        <v>37497.25</v>
      </c>
      <c r="C134" s="617" t="s">
        <v>106</v>
      </c>
      <c r="D134" s="617">
        <f t="shared" si="4"/>
        <v>38757.25</v>
      </c>
      <c r="E134" s="619"/>
      <c r="F134" s="618"/>
      <c r="G134" s="620"/>
      <c r="H134" s="622"/>
      <c r="I134" s="619">
        <f>I130+1</f>
        <v>32</v>
      </c>
      <c r="J134" s="617">
        <f>38248-1197+14*I134</f>
        <v>37499</v>
      </c>
      <c r="K134" s="620" t="s">
        <v>106</v>
      </c>
      <c r="L134" s="617">
        <f>38248+63+14*I134</f>
        <v>38759</v>
      </c>
      <c r="M134" s="619"/>
      <c r="N134" s="618"/>
      <c r="O134" s="618"/>
      <c r="P134" s="622"/>
      <c r="Q134" s="619"/>
      <c r="R134" s="647"/>
      <c r="S134" s="647"/>
      <c r="T134" s="648"/>
      <c r="U134" s="619"/>
      <c r="V134" s="624"/>
      <c r="W134" s="624"/>
      <c r="X134" s="624"/>
      <c r="Y134" s="622"/>
      <c r="Z134" s="619"/>
      <c r="AA134" s="624"/>
      <c r="AB134" s="624"/>
      <c r="AC134" s="624"/>
      <c r="AD134" s="622"/>
      <c r="AE134" s="679"/>
    </row>
    <row r="135" spans="1:31" x14ac:dyDescent="0.25">
      <c r="A135" s="606">
        <f t="shared" si="5"/>
        <v>127</v>
      </c>
      <c r="B135" s="617">
        <f t="shared" si="3"/>
        <v>37500.75</v>
      </c>
      <c r="C135" s="617" t="s">
        <v>106</v>
      </c>
      <c r="D135" s="617">
        <f t="shared" si="4"/>
        <v>38760.75</v>
      </c>
      <c r="E135" s="619">
        <f>E133+1</f>
        <v>64</v>
      </c>
      <c r="F135" s="617">
        <f>38248-1193.5+7*E135</f>
        <v>37502.5</v>
      </c>
      <c r="G135" s="620" t="s">
        <v>106</v>
      </c>
      <c r="H135" s="617">
        <f>38248+66.5+7*E135</f>
        <v>38762.5</v>
      </c>
      <c r="I135" s="619"/>
      <c r="J135" s="618"/>
      <c r="K135" s="620"/>
      <c r="L135" s="621"/>
      <c r="M135" s="619"/>
      <c r="N135" s="618"/>
      <c r="O135" s="618"/>
      <c r="P135" s="622"/>
      <c r="Q135" s="619"/>
      <c r="R135" s="624"/>
      <c r="S135" s="624"/>
      <c r="T135" s="622"/>
      <c r="U135" s="619"/>
      <c r="V135" s="624"/>
      <c r="W135" s="624"/>
      <c r="X135" s="624"/>
      <c r="Y135" s="622"/>
      <c r="Z135" s="619"/>
      <c r="AA135" s="624"/>
      <c r="AB135" s="624"/>
      <c r="AC135" s="624"/>
      <c r="AD135" s="622"/>
      <c r="AE135" s="679"/>
    </row>
    <row r="136" spans="1:31" ht="15.75" thickBot="1" x14ac:dyDescent="0.3">
      <c r="A136" s="642">
        <f t="shared" si="5"/>
        <v>128</v>
      </c>
      <c r="B136" s="673">
        <f t="shared" si="3"/>
        <v>37504.25</v>
      </c>
      <c r="C136" s="673" t="s">
        <v>106</v>
      </c>
      <c r="D136" s="673">
        <f t="shared" si="4"/>
        <v>38764.25</v>
      </c>
      <c r="E136" s="645"/>
      <c r="F136" s="643"/>
      <c r="G136" s="644"/>
      <c r="H136" s="648"/>
      <c r="I136" s="645"/>
      <c r="J136" s="643"/>
      <c r="K136" s="643"/>
      <c r="L136" s="648"/>
      <c r="M136" s="645"/>
      <c r="N136" s="643"/>
      <c r="O136" s="643"/>
      <c r="P136" s="648"/>
      <c r="Q136" s="645"/>
      <c r="R136" s="647"/>
      <c r="S136" s="647"/>
      <c r="T136" s="648"/>
      <c r="U136" s="645"/>
      <c r="V136" s="647"/>
      <c r="W136" s="647"/>
      <c r="X136" s="647"/>
      <c r="Y136" s="648"/>
      <c r="Z136" s="645">
        <v>4</v>
      </c>
      <c r="AA136" s="647">
        <f>38248-1190+112*Z136</f>
        <v>37506</v>
      </c>
      <c r="AB136" s="647"/>
      <c r="AC136" s="647">
        <f>38248+70+112*Z136</f>
        <v>38766</v>
      </c>
      <c r="AD136" s="648"/>
      <c r="AE136" s="720"/>
    </row>
    <row r="137" spans="1:31" ht="15.75" thickTop="1" x14ac:dyDescent="0.25">
      <c r="A137" s="347">
        <f t="shared" si="5"/>
        <v>129</v>
      </c>
      <c r="B137" s="298">
        <f t="shared" si="3"/>
        <v>37507.75</v>
      </c>
      <c r="C137" s="298" t="s">
        <v>106</v>
      </c>
      <c r="D137" s="298">
        <f t="shared" si="4"/>
        <v>38767.75</v>
      </c>
      <c r="E137" s="326">
        <f>E135+1</f>
        <v>65</v>
      </c>
      <c r="F137" s="298">
        <f>38248-1193.5+7*E137</f>
        <v>37509.5</v>
      </c>
      <c r="G137" s="349" t="s">
        <v>106</v>
      </c>
      <c r="H137" s="298">
        <f>38248+66.5+7*E137</f>
        <v>38769.5</v>
      </c>
      <c r="I137" s="326"/>
      <c r="J137" s="298"/>
      <c r="K137" s="298"/>
      <c r="L137" s="325"/>
      <c r="M137" s="326"/>
      <c r="N137" s="298"/>
      <c r="O137" s="298"/>
      <c r="P137" s="325"/>
      <c r="Q137" s="326"/>
      <c r="R137" s="348"/>
      <c r="S137" s="348"/>
      <c r="T137" s="325"/>
      <c r="U137" s="326"/>
      <c r="V137" s="348"/>
      <c r="W137" s="348"/>
      <c r="X137" s="348"/>
      <c r="Y137" s="325"/>
      <c r="Z137" s="326"/>
      <c r="AA137" s="348"/>
      <c r="AB137" s="348"/>
      <c r="AC137" s="348"/>
      <c r="AD137" s="325"/>
      <c r="AE137" s="367"/>
    </row>
    <row r="138" spans="1:31" x14ac:dyDescent="0.25">
      <c r="A138" s="189">
        <f t="shared" si="5"/>
        <v>130</v>
      </c>
      <c r="B138" s="112">
        <f t="shared" ref="B138:B201" si="6">38248-1191.75+3.5*A138</f>
        <v>37511.25</v>
      </c>
      <c r="C138" s="112" t="s">
        <v>106</v>
      </c>
      <c r="D138" s="112">
        <f t="shared" ref="D138:D201" si="7">38248+68.25+3.5*A138</f>
        <v>38771.25</v>
      </c>
      <c r="E138" s="245"/>
      <c r="F138" s="58"/>
      <c r="G138" s="55"/>
      <c r="H138" s="247"/>
      <c r="I138" s="245">
        <f>I134+1</f>
        <v>33</v>
      </c>
      <c r="J138" s="112">
        <f>38248-1197+14*I138</f>
        <v>37513</v>
      </c>
      <c r="K138" s="55" t="s">
        <v>106</v>
      </c>
      <c r="L138" s="112">
        <f>38248+63+14*I138</f>
        <v>38773</v>
      </c>
      <c r="M138" s="245"/>
      <c r="N138" s="58"/>
      <c r="O138" s="58"/>
      <c r="P138" s="247"/>
      <c r="Q138" s="245"/>
      <c r="R138" s="249"/>
      <c r="S138" s="249"/>
      <c r="T138" s="247"/>
      <c r="U138" s="245"/>
      <c r="V138" s="249"/>
      <c r="W138" s="249"/>
      <c r="X138" s="249"/>
      <c r="Y138" s="247"/>
      <c r="Z138" s="245"/>
      <c r="AA138" s="249"/>
      <c r="AB138" s="249"/>
      <c r="AC138" s="249"/>
      <c r="AD138" s="247"/>
      <c r="AE138" s="359"/>
    </row>
    <row r="139" spans="1:31" x14ac:dyDescent="0.25">
      <c r="A139" s="189">
        <f t="shared" si="5"/>
        <v>131</v>
      </c>
      <c r="B139" s="112">
        <f t="shared" si="6"/>
        <v>37514.75</v>
      </c>
      <c r="C139" s="112" t="s">
        <v>106</v>
      </c>
      <c r="D139" s="112">
        <f t="shared" si="7"/>
        <v>38774.75</v>
      </c>
      <c r="E139" s="245">
        <f>E137+1</f>
        <v>66</v>
      </c>
      <c r="F139" s="112">
        <f>38248-1193.5+7*E139</f>
        <v>37516.5</v>
      </c>
      <c r="G139" s="55" t="s">
        <v>106</v>
      </c>
      <c r="H139" s="112">
        <f>38248+66.5+7*E139</f>
        <v>38776.5</v>
      </c>
      <c r="I139" s="245"/>
      <c r="J139" s="58"/>
      <c r="K139" s="55"/>
      <c r="L139" s="246"/>
      <c r="M139" s="245"/>
      <c r="N139" s="58"/>
      <c r="O139" s="58"/>
      <c r="P139" s="247"/>
      <c r="Q139" s="245"/>
      <c r="R139" s="249"/>
      <c r="S139" s="249"/>
      <c r="T139" s="247"/>
      <c r="U139" s="245"/>
      <c r="V139" s="249"/>
      <c r="W139" s="249"/>
      <c r="X139" s="249"/>
      <c r="Y139" s="247"/>
      <c r="Z139" s="245"/>
      <c r="AA139" s="249"/>
      <c r="AB139" s="249"/>
      <c r="AC139" s="249"/>
      <c r="AD139" s="247"/>
      <c r="AE139" s="359"/>
    </row>
    <row r="140" spans="1:31" x14ac:dyDescent="0.25">
      <c r="A140" s="189">
        <f t="shared" si="5"/>
        <v>132</v>
      </c>
      <c r="B140" s="112">
        <f t="shared" si="6"/>
        <v>37518.25</v>
      </c>
      <c r="C140" s="112" t="s">
        <v>106</v>
      </c>
      <c r="D140" s="112">
        <f t="shared" si="7"/>
        <v>38778.25</v>
      </c>
      <c r="E140" s="245"/>
      <c r="F140" s="58"/>
      <c r="G140" s="55"/>
      <c r="H140" s="247"/>
      <c r="I140" s="245"/>
      <c r="J140" s="58"/>
      <c r="K140" s="58"/>
      <c r="L140" s="247"/>
      <c r="M140" s="245">
        <f>M132+1</f>
        <v>17</v>
      </c>
      <c r="N140" s="112">
        <f>38248-1204+28*M140</f>
        <v>37520</v>
      </c>
      <c r="O140" s="55" t="s">
        <v>106</v>
      </c>
      <c r="P140" s="112">
        <f>38248+56+28*M140</f>
        <v>38780</v>
      </c>
      <c r="Q140" s="245"/>
      <c r="R140" s="58"/>
      <c r="S140" s="55"/>
      <c r="T140" s="246"/>
      <c r="U140" s="245"/>
      <c r="V140" s="249"/>
      <c r="W140" s="249"/>
      <c r="X140" s="249"/>
      <c r="Y140" s="247"/>
      <c r="Z140" s="245"/>
      <c r="AA140" s="249"/>
      <c r="AB140" s="249"/>
      <c r="AC140" s="249"/>
      <c r="AD140" s="247"/>
      <c r="AE140" s="359"/>
    </row>
    <row r="141" spans="1:31" x14ac:dyDescent="0.25">
      <c r="A141" s="189">
        <f t="shared" si="5"/>
        <v>133</v>
      </c>
      <c r="B141" s="112">
        <f t="shared" si="6"/>
        <v>37521.75</v>
      </c>
      <c r="C141" s="112" t="s">
        <v>106</v>
      </c>
      <c r="D141" s="112">
        <f t="shared" si="7"/>
        <v>38781.75</v>
      </c>
      <c r="E141" s="245">
        <f>E139+1</f>
        <v>67</v>
      </c>
      <c r="F141" s="112">
        <f>38248-1193.5+7*E141</f>
        <v>37523.5</v>
      </c>
      <c r="G141" s="55" t="s">
        <v>106</v>
      </c>
      <c r="H141" s="112">
        <f>38248+66.5+7*E141</f>
        <v>38783.5</v>
      </c>
      <c r="I141" s="245"/>
      <c r="J141" s="58"/>
      <c r="K141" s="58"/>
      <c r="L141" s="247"/>
      <c r="M141" s="245"/>
      <c r="N141" s="58"/>
      <c r="O141" s="58"/>
      <c r="P141" s="247"/>
      <c r="Q141" s="245"/>
      <c r="R141" s="249"/>
      <c r="S141" s="249"/>
      <c r="T141" s="247"/>
      <c r="U141" s="245"/>
      <c r="V141" s="249"/>
      <c r="W141" s="249"/>
      <c r="X141" s="249"/>
      <c r="Y141" s="247"/>
      <c r="Z141" s="245"/>
      <c r="AA141" s="249"/>
      <c r="AB141" s="249"/>
      <c r="AC141" s="249"/>
      <c r="AD141" s="247"/>
      <c r="AE141" s="359"/>
    </row>
    <row r="142" spans="1:31" x14ac:dyDescent="0.25">
      <c r="A142" s="189">
        <f t="shared" si="5"/>
        <v>134</v>
      </c>
      <c r="B142" s="112">
        <f t="shared" si="6"/>
        <v>37525.25</v>
      </c>
      <c r="C142" s="112" t="s">
        <v>106</v>
      </c>
      <c r="D142" s="112">
        <f t="shared" si="7"/>
        <v>38785.25</v>
      </c>
      <c r="E142" s="245"/>
      <c r="F142" s="58"/>
      <c r="G142" s="55"/>
      <c r="H142" s="247"/>
      <c r="I142" s="245">
        <f>I138+1</f>
        <v>34</v>
      </c>
      <c r="J142" s="112">
        <f>38248-1197+14*I142</f>
        <v>37527</v>
      </c>
      <c r="K142" s="55" t="s">
        <v>106</v>
      </c>
      <c r="L142" s="112">
        <f>38248+63+14*I142</f>
        <v>38787</v>
      </c>
      <c r="M142" s="245"/>
      <c r="N142" s="58"/>
      <c r="O142" s="58"/>
      <c r="P142" s="247"/>
      <c r="Q142" s="245"/>
      <c r="R142" s="249"/>
      <c r="S142" s="249"/>
      <c r="T142" s="247"/>
      <c r="U142" s="245"/>
      <c r="V142" s="249"/>
      <c r="W142" s="249"/>
      <c r="X142" s="249"/>
      <c r="Y142" s="247"/>
      <c r="Z142" s="245"/>
      <c r="AA142" s="249"/>
      <c r="AB142" s="249"/>
      <c r="AC142" s="249"/>
      <c r="AD142" s="247"/>
      <c r="AE142" s="359"/>
    </row>
    <row r="143" spans="1:31" x14ac:dyDescent="0.25">
      <c r="A143" s="189">
        <f t="shared" ref="A143:A206" si="8">A142+1</f>
        <v>135</v>
      </c>
      <c r="B143" s="112">
        <f t="shared" si="6"/>
        <v>37528.75</v>
      </c>
      <c r="C143" s="112" t="s">
        <v>106</v>
      </c>
      <c r="D143" s="112">
        <f t="shared" si="7"/>
        <v>38788.75</v>
      </c>
      <c r="E143" s="245">
        <f>E141+1</f>
        <v>68</v>
      </c>
      <c r="F143" s="112">
        <f>38248-1193.5+7*E143</f>
        <v>37530.5</v>
      </c>
      <c r="G143" s="55" t="s">
        <v>106</v>
      </c>
      <c r="H143" s="112">
        <f>38248+66.5+7*E143</f>
        <v>38790.5</v>
      </c>
      <c r="I143" s="245"/>
      <c r="J143" s="58"/>
      <c r="K143" s="55"/>
      <c r="L143" s="246"/>
      <c r="M143" s="245"/>
      <c r="N143" s="58"/>
      <c r="O143" s="58"/>
      <c r="P143" s="247"/>
      <c r="Q143" s="245"/>
      <c r="R143" s="249"/>
      <c r="S143" s="249"/>
      <c r="T143" s="247"/>
      <c r="U143" s="245"/>
      <c r="V143" s="249"/>
      <c r="W143" s="249"/>
      <c r="X143" s="249"/>
      <c r="Y143" s="247"/>
      <c r="Z143" s="245"/>
      <c r="AA143" s="249"/>
      <c r="AB143" s="249"/>
      <c r="AC143" s="249"/>
      <c r="AD143" s="247"/>
      <c r="AE143" s="359"/>
    </row>
    <row r="144" spans="1:31" x14ac:dyDescent="0.25">
      <c r="A144" s="189">
        <f t="shared" si="8"/>
        <v>136</v>
      </c>
      <c r="B144" s="112">
        <f t="shared" si="6"/>
        <v>37532.25</v>
      </c>
      <c r="C144" s="112" t="s">
        <v>106</v>
      </c>
      <c r="D144" s="112">
        <f t="shared" si="7"/>
        <v>38792.25</v>
      </c>
      <c r="E144" s="245"/>
      <c r="F144" s="58"/>
      <c r="G144" s="55"/>
      <c r="H144" s="247"/>
      <c r="I144" s="245"/>
      <c r="J144" s="58"/>
      <c r="K144" s="58"/>
      <c r="L144" s="247"/>
      <c r="M144" s="245"/>
      <c r="N144" s="58"/>
      <c r="O144" s="58"/>
      <c r="P144" s="247"/>
      <c r="Q144" s="245">
        <f>Q128+1</f>
        <v>9</v>
      </c>
      <c r="R144" s="112">
        <f>38248-1218+56*Q144</f>
        <v>37534</v>
      </c>
      <c r="S144" s="55" t="s">
        <v>106</v>
      </c>
      <c r="T144" s="112">
        <f>38248+42+56*Q144</f>
        <v>38794</v>
      </c>
      <c r="U144" s="245"/>
      <c r="V144" s="249"/>
      <c r="W144" s="249"/>
      <c r="X144" s="249"/>
      <c r="Y144" s="247"/>
      <c r="Z144" s="245"/>
      <c r="AA144" s="249"/>
      <c r="AB144" s="249"/>
      <c r="AC144" s="249"/>
      <c r="AD144" s="247"/>
      <c r="AE144" s="360" t="s">
        <v>166</v>
      </c>
    </row>
    <row r="145" spans="1:31" x14ac:dyDescent="0.25">
      <c r="A145" s="189">
        <f t="shared" si="8"/>
        <v>137</v>
      </c>
      <c r="B145" s="112">
        <f t="shared" si="6"/>
        <v>37535.75</v>
      </c>
      <c r="C145" s="112" t="s">
        <v>106</v>
      </c>
      <c r="D145" s="112">
        <f t="shared" si="7"/>
        <v>38795.75</v>
      </c>
      <c r="E145" s="245">
        <f>E143+1</f>
        <v>69</v>
      </c>
      <c r="F145" s="112">
        <f>38248-1193.5+7*E145</f>
        <v>37537.5</v>
      </c>
      <c r="G145" s="55" t="s">
        <v>106</v>
      </c>
      <c r="H145" s="112">
        <f>38248+66.5+7*E145</f>
        <v>38797.5</v>
      </c>
      <c r="I145" s="245"/>
      <c r="J145" s="58"/>
      <c r="K145" s="58"/>
      <c r="L145" s="247"/>
      <c r="M145" s="245"/>
      <c r="N145" s="58"/>
      <c r="O145" s="58"/>
      <c r="P145" s="247"/>
      <c r="Q145" s="245"/>
      <c r="R145" s="249"/>
      <c r="S145" s="249"/>
      <c r="T145" s="247"/>
      <c r="U145" s="245"/>
      <c r="V145" s="249"/>
      <c r="W145" s="249"/>
      <c r="X145" s="249"/>
      <c r="Y145" s="247"/>
      <c r="Z145" s="245"/>
      <c r="AA145" s="249"/>
      <c r="AB145" s="249"/>
      <c r="AC145" s="249"/>
      <c r="AD145" s="247"/>
      <c r="AE145" s="359"/>
    </row>
    <row r="146" spans="1:31" x14ac:dyDescent="0.25">
      <c r="A146" s="189">
        <f t="shared" si="8"/>
        <v>138</v>
      </c>
      <c r="B146" s="112">
        <f t="shared" si="6"/>
        <v>37539.25</v>
      </c>
      <c r="C146" s="112" t="s">
        <v>106</v>
      </c>
      <c r="D146" s="112">
        <f t="shared" si="7"/>
        <v>38799.25</v>
      </c>
      <c r="E146" s="245"/>
      <c r="F146" s="58"/>
      <c r="G146" s="55"/>
      <c r="H146" s="247"/>
      <c r="I146" s="245">
        <f>I142+1</f>
        <v>35</v>
      </c>
      <c r="J146" s="112">
        <f>38248-1197+14*I146</f>
        <v>37541</v>
      </c>
      <c r="K146" s="55" t="s">
        <v>106</v>
      </c>
      <c r="L146" s="112">
        <f>38248+63+14*I146</f>
        <v>38801</v>
      </c>
      <c r="M146" s="245"/>
      <c r="N146" s="58"/>
      <c r="O146" s="58"/>
      <c r="P146" s="247"/>
      <c r="Q146" s="245"/>
      <c r="R146" s="249"/>
      <c r="S146" s="249"/>
      <c r="T146" s="247"/>
      <c r="U146" s="245"/>
      <c r="V146" s="249"/>
      <c r="W146" s="249"/>
      <c r="X146" s="249"/>
      <c r="Y146" s="247"/>
      <c r="Z146" s="245"/>
      <c r="AA146" s="249"/>
      <c r="AB146" s="249"/>
      <c r="AC146" s="249"/>
      <c r="AD146" s="247"/>
      <c r="AE146" s="202"/>
    </row>
    <row r="147" spans="1:31" x14ac:dyDescent="0.25">
      <c r="A147" s="189">
        <f t="shared" si="8"/>
        <v>139</v>
      </c>
      <c r="B147" s="112">
        <f t="shared" si="6"/>
        <v>37542.75</v>
      </c>
      <c r="C147" s="112" t="s">
        <v>106</v>
      </c>
      <c r="D147" s="112">
        <f t="shared" si="7"/>
        <v>38802.75</v>
      </c>
      <c r="E147" s="245">
        <f>E145+1</f>
        <v>70</v>
      </c>
      <c r="F147" s="112">
        <f>38248-1193.5+7*E147</f>
        <v>37544.5</v>
      </c>
      <c r="G147" s="55" t="s">
        <v>106</v>
      </c>
      <c r="H147" s="112">
        <f>38248+66.5+7*E147</f>
        <v>38804.5</v>
      </c>
      <c r="I147" s="245"/>
      <c r="J147" s="58"/>
      <c r="K147" s="55"/>
      <c r="L147" s="246"/>
      <c r="M147" s="245"/>
      <c r="N147" s="58"/>
      <c r="O147" s="58"/>
      <c r="P147" s="247"/>
      <c r="Q147" s="245"/>
      <c r="R147" s="250"/>
      <c r="S147" s="249"/>
      <c r="T147" s="251"/>
      <c r="U147" s="245"/>
      <c r="V147" s="249"/>
      <c r="W147" s="249"/>
      <c r="X147" s="249"/>
      <c r="Y147" s="247"/>
      <c r="Z147" s="245"/>
      <c r="AA147" s="249"/>
      <c r="AB147" s="249"/>
      <c r="AC147" s="249"/>
      <c r="AD147" s="247"/>
      <c r="AE147" s="202"/>
    </row>
    <row r="148" spans="1:31" x14ac:dyDescent="0.25">
      <c r="A148" s="189">
        <f t="shared" si="8"/>
        <v>140</v>
      </c>
      <c r="B148" s="112">
        <f t="shared" si="6"/>
        <v>37546.25</v>
      </c>
      <c r="C148" s="112" t="s">
        <v>106</v>
      </c>
      <c r="D148" s="112">
        <f t="shared" si="7"/>
        <v>38806.25</v>
      </c>
      <c r="E148" s="245"/>
      <c r="F148" s="58"/>
      <c r="G148" s="55"/>
      <c r="H148" s="247"/>
      <c r="I148" s="245"/>
      <c r="J148" s="58"/>
      <c r="K148" s="58"/>
      <c r="L148" s="247"/>
      <c r="M148" s="245">
        <f>M140+1</f>
        <v>18</v>
      </c>
      <c r="N148" s="112">
        <f>38248-1204+28*M148</f>
        <v>37548</v>
      </c>
      <c r="O148" s="55" t="s">
        <v>106</v>
      </c>
      <c r="P148" s="112">
        <f>38248+56+28*M148</f>
        <v>38808</v>
      </c>
      <c r="Q148" s="245"/>
      <c r="R148" s="249"/>
      <c r="S148" s="249"/>
      <c r="T148" s="247"/>
      <c r="U148" s="245"/>
      <c r="V148" s="112"/>
      <c r="W148" s="55"/>
      <c r="X148" s="55"/>
      <c r="Y148" s="112"/>
      <c r="Z148" s="245"/>
      <c r="AA148" s="112"/>
      <c r="AB148" s="55"/>
      <c r="AC148" s="55"/>
      <c r="AD148" s="112"/>
      <c r="AE148" s="202"/>
    </row>
    <row r="149" spans="1:31" x14ac:dyDescent="0.25">
      <c r="A149" s="189">
        <f t="shared" si="8"/>
        <v>141</v>
      </c>
      <c r="B149" s="112">
        <f t="shared" si="6"/>
        <v>37549.75</v>
      </c>
      <c r="C149" s="112" t="s">
        <v>106</v>
      </c>
      <c r="D149" s="112">
        <f t="shared" si="7"/>
        <v>38809.75</v>
      </c>
      <c r="E149" s="245">
        <f>E147+1</f>
        <v>71</v>
      </c>
      <c r="F149" s="112">
        <f>38248-1193.5+7*E149</f>
        <v>37551.5</v>
      </c>
      <c r="G149" s="55" t="s">
        <v>106</v>
      </c>
      <c r="H149" s="112">
        <f>38248+66.5+7*E149</f>
        <v>38811.5</v>
      </c>
      <c r="I149" s="245"/>
      <c r="J149" s="58"/>
      <c r="K149" s="58"/>
      <c r="L149" s="247"/>
      <c r="M149" s="245"/>
      <c r="N149" s="58"/>
      <c r="O149" s="58"/>
      <c r="P149" s="247"/>
      <c r="Q149" s="245"/>
      <c r="R149" s="249"/>
      <c r="S149" s="249"/>
      <c r="T149" s="247"/>
      <c r="U149" s="245"/>
      <c r="V149" s="249"/>
      <c r="W149" s="249"/>
      <c r="X149" s="249"/>
      <c r="Y149" s="247"/>
      <c r="Z149" s="245"/>
      <c r="AA149" s="249"/>
      <c r="AB149" s="249"/>
      <c r="AC149" s="249"/>
      <c r="AD149" s="247"/>
      <c r="AE149" s="202"/>
    </row>
    <row r="150" spans="1:31" x14ac:dyDescent="0.25">
      <c r="A150" s="189">
        <f t="shared" si="8"/>
        <v>142</v>
      </c>
      <c r="B150" s="112">
        <f t="shared" si="6"/>
        <v>37553.25</v>
      </c>
      <c r="C150" s="112" t="s">
        <v>106</v>
      </c>
      <c r="D150" s="112">
        <f t="shared" si="7"/>
        <v>38813.25</v>
      </c>
      <c r="E150" s="245"/>
      <c r="F150" s="58"/>
      <c r="G150" s="55"/>
      <c r="H150" s="247"/>
      <c r="I150" s="245">
        <f>I146+1</f>
        <v>36</v>
      </c>
      <c r="J150" s="112">
        <f>38248-1197+14*I150</f>
        <v>37555</v>
      </c>
      <c r="K150" s="55" t="s">
        <v>106</v>
      </c>
      <c r="L150" s="112">
        <f>38248+63+14*I150</f>
        <v>38815</v>
      </c>
      <c r="M150" s="245"/>
      <c r="N150" s="58"/>
      <c r="O150" s="58"/>
      <c r="P150" s="247"/>
      <c r="Q150" s="245"/>
      <c r="R150" s="250"/>
      <c r="S150" s="250"/>
      <c r="T150" s="251"/>
      <c r="U150" s="245"/>
      <c r="V150" s="249"/>
      <c r="W150" s="249"/>
      <c r="X150" s="249"/>
      <c r="Y150" s="247"/>
      <c r="Z150" s="245"/>
      <c r="AA150" s="249"/>
      <c r="AB150" s="249"/>
      <c r="AC150" s="249"/>
      <c r="AD150" s="247"/>
      <c r="AE150" s="202"/>
    </row>
    <row r="151" spans="1:31" x14ac:dyDescent="0.25">
      <c r="A151" s="189">
        <f t="shared" si="8"/>
        <v>143</v>
      </c>
      <c r="B151" s="112">
        <f t="shared" si="6"/>
        <v>37556.75</v>
      </c>
      <c r="C151" s="112" t="s">
        <v>106</v>
      </c>
      <c r="D151" s="112">
        <f t="shared" si="7"/>
        <v>38816.75</v>
      </c>
      <c r="E151" s="245">
        <f>E149+1</f>
        <v>72</v>
      </c>
      <c r="F151" s="112">
        <f>38248-1193.5+7*E151</f>
        <v>37558.5</v>
      </c>
      <c r="G151" s="55" t="s">
        <v>106</v>
      </c>
      <c r="H151" s="112">
        <f>38248+66.5+7*E151</f>
        <v>38818.5</v>
      </c>
      <c r="I151" s="245"/>
      <c r="J151" s="58"/>
      <c r="K151" s="55"/>
      <c r="L151" s="246"/>
      <c r="M151" s="245"/>
      <c r="N151" s="58"/>
      <c r="O151" s="58"/>
      <c r="P151" s="247"/>
      <c r="Q151" s="245"/>
      <c r="R151" s="249"/>
      <c r="S151" s="249"/>
      <c r="T151" s="247"/>
      <c r="U151" s="245"/>
      <c r="V151" s="249"/>
      <c r="W151" s="249"/>
      <c r="X151" s="249"/>
      <c r="Y151" s="247"/>
      <c r="Z151" s="245"/>
      <c r="AA151" s="249"/>
      <c r="AB151" s="249"/>
      <c r="AC151" s="249"/>
      <c r="AD151" s="247"/>
      <c r="AE151" s="202"/>
    </row>
    <row r="152" spans="1:31" ht="15.75" thickBot="1" x14ac:dyDescent="0.3">
      <c r="A152" s="255">
        <f t="shared" si="8"/>
        <v>144</v>
      </c>
      <c r="B152" s="47">
        <f t="shared" si="6"/>
        <v>37560.25</v>
      </c>
      <c r="C152" s="47" t="s">
        <v>106</v>
      </c>
      <c r="D152" s="47">
        <f t="shared" si="7"/>
        <v>38820.25</v>
      </c>
      <c r="E152" s="254"/>
      <c r="F152" s="68"/>
      <c r="G152" s="65"/>
      <c r="H152" s="251"/>
      <c r="I152" s="254"/>
      <c r="J152" s="68"/>
      <c r="K152" s="68"/>
      <c r="L152" s="251"/>
      <c r="M152" s="254"/>
      <c r="N152" s="68"/>
      <c r="O152" s="68"/>
      <c r="P152" s="251"/>
      <c r="Q152" s="254"/>
      <c r="R152" s="250"/>
      <c r="S152" s="250"/>
      <c r="T152" s="251"/>
      <c r="U152" s="3">
        <v>5</v>
      </c>
      <c r="V152" s="112">
        <f>38248-1246+112*U152</f>
        <v>37562</v>
      </c>
      <c r="W152" s="7" t="s">
        <v>106</v>
      </c>
      <c r="X152" s="112">
        <f>38248+14+112*U152</f>
        <v>38822</v>
      </c>
      <c r="Y152" s="251"/>
      <c r="Z152" s="3"/>
      <c r="AA152" s="112"/>
      <c r="AB152" s="7"/>
      <c r="AC152" s="112"/>
      <c r="AD152" s="7"/>
      <c r="AE152" s="202"/>
    </row>
    <row r="153" spans="1:31" ht="15.75" thickTop="1" x14ac:dyDescent="0.25">
      <c r="A153" s="347">
        <f t="shared" si="8"/>
        <v>145</v>
      </c>
      <c r="B153" s="298">
        <f t="shared" si="6"/>
        <v>37563.75</v>
      </c>
      <c r="C153" s="298" t="s">
        <v>106</v>
      </c>
      <c r="D153" s="298">
        <f t="shared" si="7"/>
        <v>38823.75</v>
      </c>
      <c r="E153" s="326">
        <f>E151+1</f>
        <v>73</v>
      </c>
      <c r="F153" s="298">
        <f>38248-1193.5+7*E153</f>
        <v>37565.5</v>
      </c>
      <c r="G153" s="349" t="s">
        <v>106</v>
      </c>
      <c r="H153" s="298">
        <f>38248+66.5+7*E153</f>
        <v>38825.5</v>
      </c>
      <c r="I153" s="326"/>
      <c r="J153" s="298"/>
      <c r="K153" s="298"/>
      <c r="L153" s="325"/>
      <c r="M153" s="326"/>
      <c r="N153" s="298"/>
      <c r="O153" s="298"/>
      <c r="P153" s="325"/>
      <c r="Q153" s="326"/>
      <c r="R153" s="348"/>
      <c r="S153" s="348"/>
      <c r="T153" s="325"/>
      <c r="U153" s="326"/>
      <c r="V153" s="348"/>
      <c r="W153" s="348"/>
      <c r="X153" s="348"/>
      <c r="Y153" s="325"/>
      <c r="Z153" s="326"/>
      <c r="AA153" s="348"/>
      <c r="AB153" s="348"/>
      <c r="AC153" s="348"/>
      <c r="AD153" s="325"/>
      <c r="AE153" s="187"/>
    </row>
    <row r="154" spans="1:31" x14ac:dyDescent="0.25">
      <c r="A154" s="189">
        <f t="shared" si="8"/>
        <v>146</v>
      </c>
      <c r="B154" s="112">
        <f t="shared" si="6"/>
        <v>37567.25</v>
      </c>
      <c r="C154" s="112" t="s">
        <v>106</v>
      </c>
      <c r="D154" s="112">
        <f t="shared" si="7"/>
        <v>38827.25</v>
      </c>
      <c r="E154" s="245"/>
      <c r="F154" s="58"/>
      <c r="G154" s="55"/>
      <c r="H154" s="247"/>
      <c r="I154" s="245">
        <f>I150+1</f>
        <v>37</v>
      </c>
      <c r="J154" s="112">
        <f>38248-1197+14*I154</f>
        <v>37569</v>
      </c>
      <c r="K154" s="55" t="s">
        <v>106</v>
      </c>
      <c r="L154" s="112">
        <f>38248+63+14*I154</f>
        <v>38829</v>
      </c>
      <c r="M154" s="245"/>
      <c r="N154" s="58"/>
      <c r="O154" s="58"/>
      <c r="P154" s="247"/>
      <c r="Q154" s="245"/>
      <c r="R154" s="249"/>
      <c r="S154" s="249"/>
      <c r="T154" s="247"/>
      <c r="U154" s="245"/>
      <c r="V154" s="249"/>
      <c r="W154" s="249"/>
      <c r="X154" s="249"/>
      <c r="Y154" s="247"/>
      <c r="Z154" s="245"/>
      <c r="AA154" s="249"/>
      <c r="AB154" s="249"/>
      <c r="AC154" s="249"/>
      <c r="AD154" s="247"/>
      <c r="AE154" s="202"/>
    </row>
    <row r="155" spans="1:31" x14ac:dyDescent="0.25">
      <c r="A155" s="189">
        <f t="shared" si="8"/>
        <v>147</v>
      </c>
      <c r="B155" s="112">
        <f t="shared" si="6"/>
        <v>37570.75</v>
      </c>
      <c r="C155" s="112" t="s">
        <v>106</v>
      </c>
      <c r="D155" s="112">
        <f t="shared" si="7"/>
        <v>38830.75</v>
      </c>
      <c r="E155" s="245">
        <f>E153+1</f>
        <v>74</v>
      </c>
      <c r="F155" s="112">
        <f>38248-1193.5+7*E155</f>
        <v>37572.5</v>
      </c>
      <c r="G155" s="55" t="s">
        <v>106</v>
      </c>
      <c r="H155" s="112">
        <f>38248+66.5+7*E155</f>
        <v>38832.5</v>
      </c>
      <c r="I155" s="245"/>
      <c r="J155" s="58"/>
      <c r="K155" s="55"/>
      <c r="L155" s="246"/>
      <c r="M155" s="245"/>
      <c r="N155" s="58"/>
      <c r="O155" s="58"/>
      <c r="P155" s="247"/>
      <c r="Q155" s="245"/>
      <c r="R155" s="249"/>
      <c r="S155" s="249"/>
      <c r="T155" s="247"/>
      <c r="U155" s="245"/>
      <c r="V155" s="249"/>
      <c r="W155" s="249"/>
      <c r="X155" s="249"/>
      <c r="Y155" s="247"/>
      <c r="Z155" s="245"/>
      <c r="AA155" s="249"/>
      <c r="AB155" s="249"/>
      <c r="AC155" s="249"/>
      <c r="AD155" s="247"/>
      <c r="AE155" s="202"/>
    </row>
    <row r="156" spans="1:31" x14ac:dyDescent="0.25">
      <c r="A156" s="189">
        <f t="shared" si="8"/>
        <v>148</v>
      </c>
      <c r="B156" s="112">
        <f t="shared" si="6"/>
        <v>37574.25</v>
      </c>
      <c r="C156" s="112" t="s">
        <v>106</v>
      </c>
      <c r="D156" s="112">
        <f t="shared" si="7"/>
        <v>38834.25</v>
      </c>
      <c r="E156" s="245"/>
      <c r="F156" s="58"/>
      <c r="G156" s="55"/>
      <c r="H156" s="247"/>
      <c r="I156" s="245"/>
      <c r="J156" s="58"/>
      <c r="K156" s="58"/>
      <c r="L156" s="247"/>
      <c r="M156" s="245">
        <f>M148+1</f>
        <v>19</v>
      </c>
      <c r="N156" s="112">
        <f>38248-1204+28*M156</f>
        <v>37576</v>
      </c>
      <c r="O156" s="55" t="s">
        <v>106</v>
      </c>
      <c r="P156" s="112">
        <f>38248+56+28*M156</f>
        <v>38836</v>
      </c>
      <c r="Q156" s="245"/>
      <c r="R156" s="58"/>
      <c r="S156" s="55"/>
      <c r="T156" s="246"/>
      <c r="U156" s="245"/>
      <c r="V156" s="58"/>
      <c r="W156" s="55"/>
      <c r="X156" s="55"/>
      <c r="Y156" s="246"/>
      <c r="Z156" s="245"/>
      <c r="AA156" s="58"/>
      <c r="AB156" s="55"/>
      <c r="AC156" s="55"/>
      <c r="AD156" s="246"/>
      <c r="AE156" s="202"/>
    </row>
    <row r="157" spans="1:31" x14ac:dyDescent="0.25">
      <c r="A157" s="189">
        <f t="shared" si="8"/>
        <v>149</v>
      </c>
      <c r="B157" s="112">
        <f t="shared" si="6"/>
        <v>37577.75</v>
      </c>
      <c r="C157" s="112" t="s">
        <v>106</v>
      </c>
      <c r="D157" s="112">
        <f t="shared" si="7"/>
        <v>38837.75</v>
      </c>
      <c r="E157" s="245">
        <f>E155+1</f>
        <v>75</v>
      </c>
      <c r="F157" s="112">
        <f>38248-1193.5+7*E157</f>
        <v>37579.5</v>
      </c>
      <c r="G157" s="55" t="s">
        <v>106</v>
      </c>
      <c r="H157" s="112">
        <f>38248+66.5+7*E157</f>
        <v>38839.5</v>
      </c>
      <c r="I157" s="245"/>
      <c r="J157" s="58"/>
      <c r="K157" s="58"/>
      <c r="L157" s="247"/>
      <c r="M157" s="245"/>
      <c r="N157" s="58"/>
      <c r="O157" s="58"/>
      <c r="P157" s="247"/>
      <c r="Q157" s="245"/>
      <c r="R157" s="249"/>
      <c r="S157" s="249"/>
      <c r="T157" s="247"/>
      <c r="U157" s="245"/>
      <c r="V157" s="249"/>
      <c r="W157" s="249"/>
      <c r="X157" s="249"/>
      <c r="Y157" s="247"/>
      <c r="Z157" s="245"/>
      <c r="AA157" s="249"/>
      <c r="AB157" s="249"/>
      <c r="AC157" s="249"/>
      <c r="AD157" s="247"/>
      <c r="AE157" s="202"/>
    </row>
    <row r="158" spans="1:31" x14ac:dyDescent="0.25">
      <c r="A158" s="189">
        <f t="shared" si="8"/>
        <v>150</v>
      </c>
      <c r="B158" s="112">
        <f t="shared" si="6"/>
        <v>37581.25</v>
      </c>
      <c r="C158" s="112" t="s">
        <v>106</v>
      </c>
      <c r="D158" s="112">
        <f t="shared" si="7"/>
        <v>38841.25</v>
      </c>
      <c r="E158" s="245"/>
      <c r="F158" s="58"/>
      <c r="G158" s="55"/>
      <c r="H158" s="247"/>
      <c r="I158" s="245">
        <f>I154+1</f>
        <v>38</v>
      </c>
      <c r="J158" s="112">
        <f>38248-1197+14*I158</f>
        <v>37583</v>
      </c>
      <c r="K158" s="55" t="s">
        <v>106</v>
      </c>
      <c r="L158" s="112">
        <f>38248+63+14*I158</f>
        <v>38843</v>
      </c>
      <c r="M158" s="245"/>
      <c r="N158" s="58"/>
      <c r="O158" s="58"/>
      <c r="P158" s="247"/>
      <c r="Q158" s="245"/>
      <c r="R158" s="249"/>
      <c r="S158" s="249"/>
      <c r="T158" s="247"/>
      <c r="U158" s="245"/>
      <c r="V158" s="249"/>
      <c r="W158" s="249"/>
      <c r="X158" s="249"/>
      <c r="Y158" s="247"/>
      <c r="Z158" s="245"/>
      <c r="AA158" s="249"/>
      <c r="AB158" s="249"/>
      <c r="AC158" s="249"/>
      <c r="AD158" s="247"/>
      <c r="AE158" s="202"/>
    </row>
    <row r="159" spans="1:31" x14ac:dyDescent="0.25">
      <c r="A159" s="189">
        <f t="shared" si="8"/>
        <v>151</v>
      </c>
      <c r="B159" s="112">
        <f t="shared" si="6"/>
        <v>37584.75</v>
      </c>
      <c r="C159" s="112" t="s">
        <v>106</v>
      </c>
      <c r="D159" s="112">
        <f t="shared" si="7"/>
        <v>38844.75</v>
      </c>
      <c r="E159" s="245">
        <f>E157+1</f>
        <v>76</v>
      </c>
      <c r="F159" s="112">
        <f>38248-1193.5+7*E159</f>
        <v>37586.5</v>
      </c>
      <c r="G159" s="55" t="s">
        <v>106</v>
      </c>
      <c r="H159" s="112">
        <f>38248+66.5+7*E159</f>
        <v>38846.5</v>
      </c>
      <c r="I159" s="245"/>
      <c r="J159" s="58"/>
      <c r="K159" s="55"/>
      <c r="L159" s="246"/>
      <c r="M159" s="245"/>
      <c r="N159" s="58"/>
      <c r="O159" s="58"/>
      <c r="P159" s="247"/>
      <c r="Q159" s="245"/>
      <c r="R159" s="249"/>
      <c r="S159" s="249"/>
      <c r="T159" s="247"/>
      <c r="U159" s="245"/>
      <c r="V159" s="249"/>
      <c r="W159" s="249"/>
      <c r="X159" s="249"/>
      <c r="Y159" s="247"/>
      <c r="Z159" s="245"/>
      <c r="AA159" s="249"/>
      <c r="AB159" s="249"/>
      <c r="AC159" s="249"/>
      <c r="AD159" s="247"/>
      <c r="AE159" s="202"/>
    </row>
    <row r="160" spans="1:31" x14ac:dyDescent="0.25">
      <c r="A160" s="189">
        <f t="shared" si="8"/>
        <v>152</v>
      </c>
      <c r="B160" s="112">
        <f t="shared" si="6"/>
        <v>37588.25</v>
      </c>
      <c r="C160" s="112" t="s">
        <v>106</v>
      </c>
      <c r="D160" s="112">
        <f t="shared" si="7"/>
        <v>38848.25</v>
      </c>
      <c r="E160" s="245"/>
      <c r="F160" s="58"/>
      <c r="G160" s="55"/>
      <c r="H160" s="247"/>
      <c r="I160" s="245"/>
      <c r="J160" s="58"/>
      <c r="K160" s="58"/>
      <c r="L160" s="247"/>
      <c r="M160" s="245"/>
      <c r="N160" s="58"/>
      <c r="O160" s="58"/>
      <c r="P160" s="247"/>
      <c r="Q160" s="245">
        <f>Q144+1</f>
        <v>10</v>
      </c>
      <c r="R160" s="112">
        <f>38248-1218+56*Q160</f>
        <v>37590</v>
      </c>
      <c r="S160" s="55" t="s">
        <v>106</v>
      </c>
      <c r="T160" s="112">
        <f>38248+42+56*Q160</f>
        <v>38850</v>
      </c>
      <c r="U160" s="245"/>
      <c r="V160" s="249"/>
      <c r="W160" s="249"/>
      <c r="X160" s="249"/>
      <c r="Y160" s="247"/>
      <c r="Z160" s="245"/>
      <c r="AA160" s="249"/>
      <c r="AB160" s="249"/>
      <c r="AC160" s="249"/>
      <c r="AD160" s="247"/>
      <c r="AE160" s="360" t="s">
        <v>166</v>
      </c>
    </row>
    <row r="161" spans="1:31" x14ac:dyDescent="0.25">
      <c r="A161" s="189">
        <f t="shared" si="8"/>
        <v>153</v>
      </c>
      <c r="B161" s="112">
        <f t="shared" si="6"/>
        <v>37591.75</v>
      </c>
      <c r="C161" s="112" t="s">
        <v>106</v>
      </c>
      <c r="D161" s="112">
        <f t="shared" si="7"/>
        <v>38851.75</v>
      </c>
      <c r="E161" s="245">
        <f>E159+1</f>
        <v>77</v>
      </c>
      <c r="F161" s="112">
        <f>38248-1193.5+7*E161</f>
        <v>37593.5</v>
      </c>
      <c r="G161" s="55" t="s">
        <v>106</v>
      </c>
      <c r="H161" s="112">
        <f>38248+66.5+7*E161</f>
        <v>38853.5</v>
      </c>
      <c r="I161" s="245"/>
      <c r="J161" s="58"/>
      <c r="K161" s="58"/>
      <c r="L161" s="247"/>
      <c r="M161" s="245"/>
      <c r="N161" s="58"/>
      <c r="O161" s="58"/>
      <c r="P161" s="247"/>
      <c r="Q161" s="245"/>
      <c r="R161" s="249"/>
      <c r="S161" s="249"/>
      <c r="T161" s="247"/>
      <c r="U161" s="245"/>
      <c r="V161" s="249"/>
      <c r="W161" s="249"/>
      <c r="X161" s="249"/>
      <c r="Y161" s="247"/>
      <c r="Z161" s="245"/>
      <c r="AA161" s="249"/>
      <c r="AB161" s="249"/>
      <c r="AC161" s="249"/>
      <c r="AD161" s="247"/>
      <c r="AE161" s="360"/>
    </row>
    <row r="162" spans="1:31" x14ac:dyDescent="0.25">
      <c r="A162" s="189">
        <f t="shared" si="8"/>
        <v>154</v>
      </c>
      <c r="B162" s="112">
        <f t="shared" si="6"/>
        <v>37595.25</v>
      </c>
      <c r="C162" s="112" t="s">
        <v>106</v>
      </c>
      <c r="D162" s="112">
        <f t="shared" si="7"/>
        <v>38855.25</v>
      </c>
      <c r="E162" s="245"/>
      <c r="F162" s="58"/>
      <c r="G162" s="55"/>
      <c r="H162" s="247"/>
      <c r="I162" s="245">
        <f>I158+1</f>
        <v>39</v>
      </c>
      <c r="J162" s="112">
        <f>38248-1197+14*I162</f>
        <v>37597</v>
      </c>
      <c r="K162" s="55" t="s">
        <v>106</v>
      </c>
      <c r="L162" s="112">
        <f>38248+63+14*I162</f>
        <v>38857</v>
      </c>
      <c r="M162" s="245"/>
      <c r="N162" s="58"/>
      <c r="O162" s="58"/>
      <c r="P162" s="247"/>
      <c r="Q162" s="245"/>
      <c r="R162" s="249"/>
      <c r="S162" s="249"/>
      <c r="T162" s="247"/>
      <c r="U162" s="245"/>
      <c r="V162" s="249"/>
      <c r="W162" s="249"/>
      <c r="X162" s="249"/>
      <c r="Y162" s="247"/>
      <c r="Z162" s="245"/>
      <c r="AA162" s="249"/>
      <c r="AB162" s="249"/>
      <c r="AC162" s="249"/>
      <c r="AD162" s="247"/>
      <c r="AE162" s="360"/>
    </row>
    <row r="163" spans="1:31" x14ac:dyDescent="0.25">
      <c r="A163" s="189">
        <f t="shared" si="8"/>
        <v>155</v>
      </c>
      <c r="B163" s="112">
        <f t="shared" si="6"/>
        <v>37598.75</v>
      </c>
      <c r="C163" s="112" t="s">
        <v>106</v>
      </c>
      <c r="D163" s="112">
        <f t="shared" si="7"/>
        <v>38858.75</v>
      </c>
      <c r="E163" s="245">
        <f>E161+1</f>
        <v>78</v>
      </c>
      <c r="F163" s="112">
        <f>38248-1193.5+7*E163</f>
        <v>37600.5</v>
      </c>
      <c r="G163" s="55" t="s">
        <v>106</v>
      </c>
      <c r="H163" s="112">
        <f>38248+66.5+7*E163</f>
        <v>38860.5</v>
      </c>
      <c r="I163" s="245"/>
      <c r="J163" s="58"/>
      <c r="K163" s="55"/>
      <c r="L163" s="246"/>
      <c r="M163" s="245"/>
      <c r="N163" s="58"/>
      <c r="O163" s="58"/>
      <c r="P163" s="247"/>
      <c r="Q163" s="245"/>
      <c r="R163" s="250"/>
      <c r="S163" s="249"/>
      <c r="T163" s="251"/>
      <c r="U163" s="245"/>
      <c r="V163" s="249"/>
      <c r="W163" s="249"/>
      <c r="X163" s="249"/>
      <c r="Y163" s="247"/>
      <c r="Z163" s="245"/>
      <c r="AA163" s="249"/>
      <c r="AB163" s="249"/>
      <c r="AC163" s="249"/>
      <c r="AD163" s="247"/>
      <c r="AE163" s="202"/>
    </row>
    <row r="164" spans="1:31" x14ac:dyDescent="0.25">
      <c r="A164" s="189">
        <f t="shared" si="8"/>
        <v>156</v>
      </c>
      <c r="B164" s="112">
        <f t="shared" si="6"/>
        <v>37602.25</v>
      </c>
      <c r="C164" s="112" t="s">
        <v>106</v>
      </c>
      <c r="D164" s="112">
        <f t="shared" si="7"/>
        <v>38862.25</v>
      </c>
      <c r="E164" s="245"/>
      <c r="F164" s="58"/>
      <c r="G164" s="55"/>
      <c r="H164" s="247"/>
      <c r="I164" s="245"/>
      <c r="J164" s="58"/>
      <c r="K164" s="58"/>
      <c r="L164" s="247"/>
      <c r="M164" s="245">
        <f>M156+1</f>
        <v>20</v>
      </c>
      <c r="N164" s="112">
        <f>38248-1204+28*M164</f>
        <v>37604</v>
      </c>
      <c r="O164" s="55" t="s">
        <v>106</v>
      </c>
      <c r="P164" s="112">
        <f>38248+56+28*M164</f>
        <v>38864</v>
      </c>
      <c r="Q164" s="245"/>
      <c r="R164" s="249"/>
      <c r="S164" s="249"/>
      <c r="T164" s="247"/>
      <c r="U164" s="245"/>
      <c r="V164" s="249"/>
      <c r="W164" s="249"/>
      <c r="X164" s="249"/>
      <c r="Y164" s="247"/>
      <c r="Z164" s="245"/>
      <c r="AA164" s="249"/>
      <c r="AB164" s="249"/>
      <c r="AC164" s="249"/>
      <c r="AD164" s="247"/>
      <c r="AE164" s="202"/>
    </row>
    <row r="165" spans="1:31" x14ac:dyDescent="0.25">
      <c r="A165" s="189">
        <f t="shared" si="8"/>
        <v>157</v>
      </c>
      <c r="B165" s="112">
        <f t="shared" si="6"/>
        <v>37605.75</v>
      </c>
      <c r="C165" s="112" t="s">
        <v>106</v>
      </c>
      <c r="D165" s="112">
        <f t="shared" si="7"/>
        <v>38865.75</v>
      </c>
      <c r="E165" s="245">
        <f>E163+1</f>
        <v>79</v>
      </c>
      <c r="F165" s="112">
        <f>38248-1193.5+7*E165</f>
        <v>37607.5</v>
      </c>
      <c r="G165" s="55" t="s">
        <v>106</v>
      </c>
      <c r="H165" s="112">
        <f>38248+66.5+7*E165</f>
        <v>38867.5</v>
      </c>
      <c r="I165" s="245"/>
      <c r="J165" s="58"/>
      <c r="K165" s="58"/>
      <c r="L165" s="247"/>
      <c r="M165" s="245"/>
      <c r="N165" s="58"/>
      <c r="O165" s="58"/>
      <c r="P165" s="247"/>
      <c r="Q165" s="245"/>
      <c r="R165" s="249"/>
      <c r="S165" s="249"/>
      <c r="T165" s="247"/>
      <c r="U165" s="245"/>
      <c r="V165" s="249"/>
      <c r="W165" s="249"/>
      <c r="X165" s="249"/>
      <c r="Y165" s="247"/>
      <c r="Z165" s="245"/>
      <c r="AA165" s="249"/>
      <c r="AB165" s="249"/>
      <c r="AC165" s="249"/>
      <c r="AD165" s="247"/>
      <c r="AE165" s="202"/>
    </row>
    <row r="166" spans="1:31" x14ac:dyDescent="0.25">
      <c r="A166" s="189">
        <f t="shared" si="8"/>
        <v>158</v>
      </c>
      <c r="B166" s="112">
        <f t="shared" si="6"/>
        <v>37609.25</v>
      </c>
      <c r="C166" s="112" t="s">
        <v>106</v>
      </c>
      <c r="D166" s="112">
        <f t="shared" si="7"/>
        <v>38869.25</v>
      </c>
      <c r="E166" s="245"/>
      <c r="F166" s="58"/>
      <c r="G166" s="55"/>
      <c r="H166" s="247"/>
      <c r="I166" s="245">
        <f>I162+1</f>
        <v>40</v>
      </c>
      <c r="J166" s="112">
        <f>38248-1197+14*I166</f>
        <v>37611</v>
      </c>
      <c r="K166" s="55" t="s">
        <v>106</v>
      </c>
      <c r="L166" s="112">
        <f>38248+63+14*I166</f>
        <v>38871</v>
      </c>
      <c r="M166" s="245"/>
      <c r="N166" s="58"/>
      <c r="O166" s="58"/>
      <c r="P166" s="247"/>
      <c r="Q166" s="245"/>
      <c r="R166" s="250"/>
      <c r="S166" s="250"/>
      <c r="T166" s="251"/>
      <c r="U166" s="245"/>
      <c r="V166" s="249"/>
      <c r="W166" s="249"/>
      <c r="X166" s="249"/>
      <c r="Y166" s="247"/>
      <c r="Z166" s="245"/>
      <c r="AA166" s="249"/>
      <c r="AB166" s="249"/>
      <c r="AC166" s="249"/>
      <c r="AD166" s="247"/>
      <c r="AE166" s="368"/>
    </row>
    <row r="167" spans="1:31" x14ac:dyDescent="0.25">
      <c r="A167" s="189">
        <f t="shared" si="8"/>
        <v>159</v>
      </c>
      <c r="B167" s="112">
        <f t="shared" si="6"/>
        <v>37612.75</v>
      </c>
      <c r="C167" s="112" t="s">
        <v>106</v>
      </c>
      <c r="D167" s="112">
        <f t="shared" si="7"/>
        <v>38872.75</v>
      </c>
      <c r="E167" s="245">
        <f>E165+1</f>
        <v>80</v>
      </c>
      <c r="F167" s="112">
        <f>38248-1193.5+7*E167</f>
        <v>37614.5</v>
      </c>
      <c r="G167" s="55" t="s">
        <v>106</v>
      </c>
      <c r="H167" s="112">
        <f>38248+66.5+7*E167</f>
        <v>38874.5</v>
      </c>
      <c r="I167" s="245"/>
      <c r="J167" s="58"/>
      <c r="K167" s="55"/>
      <c r="L167" s="246"/>
      <c r="M167" s="245"/>
      <c r="N167" s="58"/>
      <c r="O167" s="58"/>
      <c r="P167" s="247"/>
      <c r="Q167" s="245"/>
      <c r="R167" s="249"/>
      <c r="S167" s="249"/>
      <c r="T167" s="247"/>
      <c r="U167" s="245"/>
      <c r="V167" s="249"/>
      <c r="W167" s="249"/>
      <c r="X167" s="249"/>
      <c r="Y167" s="247"/>
      <c r="Z167" s="245"/>
      <c r="AA167" s="249"/>
      <c r="AB167" s="249"/>
      <c r="AC167" s="249"/>
      <c r="AD167" s="247"/>
      <c r="AE167" s="202"/>
    </row>
    <row r="168" spans="1:31" ht="15.75" thickBot="1" x14ac:dyDescent="0.3">
      <c r="A168" s="255">
        <f t="shared" si="8"/>
        <v>160</v>
      </c>
      <c r="B168" s="47">
        <f t="shared" si="6"/>
        <v>37616.25</v>
      </c>
      <c r="C168" s="47" t="s">
        <v>106</v>
      </c>
      <c r="D168" s="47">
        <f t="shared" si="7"/>
        <v>38876.25</v>
      </c>
      <c r="E168" s="271"/>
      <c r="F168" s="68"/>
      <c r="G168" s="65"/>
      <c r="H168" s="251"/>
      <c r="I168" s="254"/>
      <c r="J168" s="68"/>
      <c r="K168" s="68"/>
      <c r="L168" s="251"/>
      <c r="M168" s="254"/>
      <c r="N168" s="68"/>
      <c r="O168" s="68"/>
      <c r="P168" s="251"/>
      <c r="Q168" s="254"/>
      <c r="R168" s="250"/>
      <c r="S168" s="250"/>
      <c r="T168" s="251"/>
      <c r="U168" s="254"/>
      <c r="V168" s="250"/>
      <c r="W168" s="250"/>
      <c r="X168" s="250"/>
      <c r="Y168" s="251"/>
      <c r="Z168" s="254">
        <v>5</v>
      </c>
      <c r="AA168" s="249">
        <f>38248-1190+112*Z168</f>
        <v>37618</v>
      </c>
      <c r="AB168" s="249"/>
      <c r="AC168" s="249">
        <f>38248+70+112*Z168</f>
        <v>38878</v>
      </c>
      <c r="AD168" s="251"/>
      <c r="AE168" s="346" t="s">
        <v>232</v>
      </c>
    </row>
    <row r="169" spans="1:31" ht="15.75" thickTop="1" x14ac:dyDescent="0.25">
      <c r="A169" s="347">
        <f t="shared" si="8"/>
        <v>161</v>
      </c>
      <c r="B169" s="298">
        <f t="shared" si="6"/>
        <v>37619.75</v>
      </c>
      <c r="C169" s="298" t="s">
        <v>106</v>
      </c>
      <c r="D169" s="298">
        <f t="shared" si="7"/>
        <v>38879.75</v>
      </c>
      <c r="E169" s="369">
        <f>E167+1</f>
        <v>81</v>
      </c>
      <c r="F169" s="298">
        <f>38248-1193.5+7*E169</f>
        <v>37621.5</v>
      </c>
      <c r="G169" s="349" t="s">
        <v>106</v>
      </c>
      <c r="H169" s="298">
        <f>38248+66.5+7*E169</f>
        <v>38881.5</v>
      </c>
      <c r="I169" s="326"/>
      <c r="J169" s="298"/>
      <c r="K169" s="298"/>
      <c r="L169" s="325"/>
      <c r="M169" s="326"/>
      <c r="N169" s="298"/>
      <c r="O169" s="298"/>
      <c r="P169" s="325"/>
      <c r="Q169" s="326"/>
      <c r="R169" s="348"/>
      <c r="S169" s="348"/>
      <c r="T169" s="325"/>
      <c r="U169" s="326"/>
      <c r="V169" s="348"/>
      <c r="W169" s="348"/>
      <c r="X169" s="348"/>
      <c r="Y169" s="325"/>
      <c r="Z169" s="326"/>
      <c r="AA169" s="348"/>
      <c r="AB169" s="348"/>
      <c r="AC169" s="348"/>
      <c r="AD169" s="325"/>
      <c r="AE169" s="328"/>
    </row>
    <row r="170" spans="1:31" x14ac:dyDescent="0.25">
      <c r="A170" s="189">
        <f t="shared" si="8"/>
        <v>162</v>
      </c>
      <c r="B170" s="112">
        <f t="shared" si="6"/>
        <v>37623.25</v>
      </c>
      <c r="C170" s="112" t="s">
        <v>106</v>
      </c>
      <c r="D170" s="112">
        <f t="shared" si="7"/>
        <v>38883.25</v>
      </c>
      <c r="E170" s="270"/>
      <c r="F170" s="58"/>
      <c r="G170" s="55"/>
      <c r="H170" s="247"/>
      <c r="I170" s="245">
        <f>I166+1</f>
        <v>41</v>
      </c>
      <c r="J170" s="112">
        <f>38248-1197+14*I170</f>
        <v>37625</v>
      </c>
      <c r="K170" s="55" t="s">
        <v>106</v>
      </c>
      <c r="L170" s="112">
        <f>38248+63+14*I170</f>
        <v>38885</v>
      </c>
      <c r="M170" s="245"/>
      <c r="N170" s="58"/>
      <c r="O170" s="58"/>
      <c r="P170" s="247"/>
      <c r="Q170" s="245"/>
      <c r="R170" s="249"/>
      <c r="S170" s="249"/>
      <c r="T170" s="247"/>
      <c r="U170" s="245"/>
      <c r="V170" s="249"/>
      <c r="W170" s="249"/>
      <c r="X170" s="249"/>
      <c r="Y170" s="247"/>
      <c r="Z170" s="245"/>
      <c r="AA170" s="249"/>
      <c r="AB170" s="249"/>
      <c r="AC170" s="249"/>
      <c r="AD170" s="247"/>
      <c r="AE170" s="202"/>
    </row>
    <row r="171" spans="1:31" x14ac:dyDescent="0.25">
      <c r="A171" s="189">
        <f t="shared" si="8"/>
        <v>163</v>
      </c>
      <c r="B171" s="112">
        <f t="shared" si="6"/>
        <v>37626.75</v>
      </c>
      <c r="C171" s="112" t="s">
        <v>106</v>
      </c>
      <c r="D171" s="112">
        <f t="shared" si="7"/>
        <v>38886.75</v>
      </c>
      <c r="E171" s="270">
        <f>E169+1</f>
        <v>82</v>
      </c>
      <c r="F171" s="112">
        <f>38248-1193.5+7*E171</f>
        <v>37628.5</v>
      </c>
      <c r="G171" s="55" t="s">
        <v>106</v>
      </c>
      <c r="H171" s="112">
        <f>38248+66.5+7*E171</f>
        <v>38888.5</v>
      </c>
      <c r="I171" s="245"/>
      <c r="J171" s="58"/>
      <c r="K171" s="55"/>
      <c r="L171" s="246"/>
      <c r="M171" s="245"/>
      <c r="N171" s="58"/>
      <c r="O171" s="58"/>
      <c r="P171" s="247"/>
      <c r="Q171" s="245"/>
      <c r="R171" s="249"/>
      <c r="S171" s="249"/>
      <c r="T171" s="247"/>
      <c r="U171" s="245"/>
      <c r="V171" s="249"/>
      <c r="W171" s="249"/>
      <c r="X171" s="249"/>
      <c r="Y171" s="247"/>
      <c r="Z171" s="245"/>
      <c r="AA171" s="249"/>
      <c r="AB171" s="249"/>
      <c r="AC171" s="249"/>
      <c r="AD171" s="247"/>
      <c r="AE171" s="202"/>
    </row>
    <row r="172" spans="1:31" x14ac:dyDescent="0.25">
      <c r="A172" s="189">
        <f t="shared" si="8"/>
        <v>164</v>
      </c>
      <c r="B172" s="112">
        <f t="shared" si="6"/>
        <v>37630.25</v>
      </c>
      <c r="C172" s="112" t="s">
        <v>106</v>
      </c>
      <c r="D172" s="112">
        <f t="shared" si="7"/>
        <v>38890.25</v>
      </c>
      <c r="E172" s="270"/>
      <c r="F172" s="58"/>
      <c r="G172" s="55"/>
      <c r="H172" s="247"/>
      <c r="I172" s="245"/>
      <c r="J172" s="58"/>
      <c r="K172" s="58"/>
      <c r="L172" s="247"/>
      <c r="M172" s="245">
        <f>M164+1</f>
        <v>21</v>
      </c>
      <c r="N172" s="112">
        <f>38248-1204+28*M172</f>
        <v>37632</v>
      </c>
      <c r="O172" s="55" t="s">
        <v>106</v>
      </c>
      <c r="P172" s="112">
        <f>38248+56+28*M172</f>
        <v>38892</v>
      </c>
      <c r="Q172" s="245"/>
      <c r="R172" s="58"/>
      <c r="S172" s="55"/>
      <c r="T172" s="246"/>
      <c r="U172" s="245"/>
      <c r="V172" s="249"/>
      <c r="W172" s="249"/>
      <c r="X172" s="249"/>
      <c r="Y172" s="247"/>
      <c r="Z172" s="245"/>
      <c r="AA172" s="249"/>
      <c r="AB172" s="249"/>
      <c r="AC172" s="249"/>
      <c r="AD172" s="247"/>
      <c r="AE172" s="202"/>
    </row>
    <row r="173" spans="1:31" x14ac:dyDescent="0.25">
      <c r="A173" s="189">
        <f t="shared" si="8"/>
        <v>165</v>
      </c>
      <c r="B173" s="112">
        <f t="shared" si="6"/>
        <v>37633.75</v>
      </c>
      <c r="C173" s="112" t="s">
        <v>106</v>
      </c>
      <c r="D173" s="112">
        <f t="shared" si="7"/>
        <v>38893.75</v>
      </c>
      <c r="E173" s="270">
        <f>E171+1</f>
        <v>83</v>
      </c>
      <c r="F173" s="112">
        <f>38248-1193.5+7*E173</f>
        <v>37635.5</v>
      </c>
      <c r="G173" s="55" t="s">
        <v>106</v>
      </c>
      <c r="H173" s="112">
        <f>38248+66.5+7*E173</f>
        <v>38895.5</v>
      </c>
      <c r="I173" s="245"/>
      <c r="J173" s="58"/>
      <c r="K173" s="58"/>
      <c r="L173" s="247"/>
      <c r="M173" s="245"/>
      <c r="N173" s="58"/>
      <c r="O173" s="58"/>
      <c r="P173" s="247"/>
      <c r="Q173" s="245"/>
      <c r="R173" s="249"/>
      <c r="S173" s="249"/>
      <c r="T173" s="247"/>
      <c r="U173" s="245"/>
      <c r="V173" s="249"/>
      <c r="W173" s="249"/>
      <c r="X173" s="249"/>
      <c r="Y173" s="247"/>
      <c r="Z173" s="245"/>
      <c r="AA173" s="249"/>
      <c r="AB173" s="249"/>
      <c r="AC173" s="249"/>
      <c r="AD173" s="247"/>
      <c r="AE173" s="202"/>
    </row>
    <row r="174" spans="1:31" x14ac:dyDescent="0.25">
      <c r="A174" s="189">
        <f t="shared" si="8"/>
        <v>166</v>
      </c>
      <c r="B174" s="112">
        <f t="shared" si="6"/>
        <v>37637.25</v>
      </c>
      <c r="C174" s="112" t="s">
        <v>106</v>
      </c>
      <c r="D174" s="112">
        <f t="shared" si="7"/>
        <v>38897.25</v>
      </c>
      <c r="E174" s="270"/>
      <c r="F174" s="58"/>
      <c r="G174" s="55"/>
      <c r="H174" s="247"/>
      <c r="I174" s="245">
        <f>I170+1</f>
        <v>42</v>
      </c>
      <c r="J174" s="112">
        <f>38248-1197+14*I174</f>
        <v>37639</v>
      </c>
      <c r="K174" s="55" t="s">
        <v>106</v>
      </c>
      <c r="L174" s="112">
        <f>38248+63+14*I174</f>
        <v>38899</v>
      </c>
      <c r="M174" s="245"/>
      <c r="N174" s="58"/>
      <c r="O174" s="58"/>
      <c r="P174" s="247"/>
      <c r="Q174" s="245"/>
      <c r="R174" s="249"/>
      <c r="S174" s="249"/>
      <c r="T174" s="247"/>
      <c r="U174" s="245"/>
      <c r="V174" s="249"/>
      <c r="W174" s="249"/>
      <c r="X174" s="249"/>
      <c r="Y174" s="247"/>
      <c r="Z174" s="245"/>
      <c r="AA174" s="249"/>
      <c r="AB174" s="249"/>
      <c r="AC174" s="249"/>
      <c r="AD174" s="247"/>
      <c r="AE174" s="202"/>
    </row>
    <row r="175" spans="1:31" x14ac:dyDescent="0.25">
      <c r="A175" s="189">
        <f t="shared" si="8"/>
        <v>167</v>
      </c>
      <c r="B175" s="112">
        <f t="shared" si="6"/>
        <v>37640.75</v>
      </c>
      <c r="C175" s="112" t="s">
        <v>106</v>
      </c>
      <c r="D175" s="112">
        <f t="shared" si="7"/>
        <v>38900.75</v>
      </c>
      <c r="E175" s="270">
        <f>E173+1</f>
        <v>84</v>
      </c>
      <c r="F175" s="112">
        <f>38248-1193.5+7*E175</f>
        <v>37642.5</v>
      </c>
      <c r="G175" s="55" t="s">
        <v>106</v>
      </c>
      <c r="H175" s="112">
        <f>38248+66.5+7*E175</f>
        <v>38902.5</v>
      </c>
      <c r="I175" s="245"/>
      <c r="J175" s="58"/>
      <c r="K175" s="55"/>
      <c r="L175" s="246"/>
      <c r="M175" s="245"/>
      <c r="N175" s="58"/>
      <c r="O175" s="58"/>
      <c r="P175" s="247"/>
      <c r="Q175" s="245"/>
      <c r="R175" s="249"/>
      <c r="S175" s="249"/>
      <c r="T175" s="247"/>
      <c r="U175" s="245"/>
      <c r="V175" s="249"/>
      <c r="W175" s="249"/>
      <c r="X175" s="249"/>
      <c r="Y175" s="247"/>
      <c r="Z175" s="245"/>
      <c r="AA175" s="249"/>
      <c r="AB175" s="249"/>
      <c r="AC175" s="249"/>
      <c r="AD175" s="247"/>
      <c r="AE175" s="202"/>
    </row>
    <row r="176" spans="1:31" x14ac:dyDescent="0.25">
      <c r="A176" s="189">
        <f t="shared" si="8"/>
        <v>168</v>
      </c>
      <c r="B176" s="112">
        <f t="shared" si="6"/>
        <v>37644.25</v>
      </c>
      <c r="C176" s="112" t="s">
        <v>106</v>
      </c>
      <c r="D176" s="112">
        <f t="shared" si="7"/>
        <v>38904.25</v>
      </c>
      <c r="E176" s="271"/>
      <c r="F176" s="58"/>
      <c r="G176" s="55"/>
      <c r="H176" s="247"/>
      <c r="I176" s="245"/>
      <c r="J176" s="58"/>
      <c r="K176" s="58"/>
      <c r="L176" s="247"/>
      <c r="M176" s="245"/>
      <c r="N176" s="58"/>
      <c r="O176" s="58"/>
      <c r="P176" s="247"/>
      <c r="Q176" s="245">
        <f>Q160+1</f>
        <v>11</v>
      </c>
      <c r="R176" s="112">
        <f>38248-1218+56*Q176</f>
        <v>37646</v>
      </c>
      <c r="S176" s="55" t="s">
        <v>106</v>
      </c>
      <c r="T176" s="112">
        <f>38248+42+56*Q176</f>
        <v>38906</v>
      </c>
      <c r="U176" s="245"/>
      <c r="V176" s="249"/>
      <c r="W176" s="249"/>
      <c r="X176" s="249"/>
      <c r="Y176" s="247"/>
      <c r="Z176" s="245"/>
      <c r="AA176" s="249"/>
      <c r="AB176" s="249"/>
      <c r="AC176" s="249"/>
      <c r="AD176" s="247"/>
      <c r="AE176" s="360" t="s">
        <v>166</v>
      </c>
    </row>
    <row r="177" spans="1:31" x14ac:dyDescent="0.25">
      <c r="A177" s="189">
        <f t="shared" si="8"/>
        <v>169</v>
      </c>
      <c r="B177" s="112">
        <f t="shared" si="6"/>
        <v>37647.75</v>
      </c>
      <c r="C177" s="112" t="s">
        <v>106</v>
      </c>
      <c r="D177" s="112">
        <f t="shared" si="7"/>
        <v>38907.75</v>
      </c>
      <c r="E177" s="270">
        <f>E175+1</f>
        <v>85</v>
      </c>
      <c r="F177" s="112">
        <f>38248-1193.5+7*E177</f>
        <v>37649.5</v>
      </c>
      <c r="G177" s="55" t="s">
        <v>106</v>
      </c>
      <c r="H177" s="112">
        <f>38248+66.5+7*E177</f>
        <v>38909.5</v>
      </c>
      <c r="I177" s="245"/>
      <c r="J177" s="58"/>
      <c r="K177" s="58"/>
      <c r="L177" s="247"/>
      <c r="M177" s="245"/>
      <c r="N177" s="58"/>
      <c r="O177" s="58"/>
      <c r="P177" s="247"/>
      <c r="Q177" s="245"/>
      <c r="R177" s="249"/>
      <c r="S177" s="249"/>
      <c r="T177" s="247"/>
      <c r="U177" s="245"/>
      <c r="V177" s="249"/>
      <c r="W177" s="249"/>
      <c r="X177" s="249"/>
      <c r="Y177" s="247"/>
      <c r="Z177" s="245"/>
      <c r="AA177" s="249"/>
      <c r="AB177" s="249"/>
      <c r="AC177" s="249"/>
      <c r="AD177" s="247"/>
      <c r="AE177" s="360"/>
    </row>
    <row r="178" spans="1:31" x14ac:dyDescent="0.25">
      <c r="A178" s="189">
        <f t="shared" si="8"/>
        <v>170</v>
      </c>
      <c r="B178" s="112">
        <f t="shared" si="6"/>
        <v>37651.25</v>
      </c>
      <c r="C178" s="112" t="s">
        <v>106</v>
      </c>
      <c r="D178" s="112">
        <f t="shared" si="7"/>
        <v>38911.25</v>
      </c>
      <c r="E178" s="270"/>
      <c r="F178" s="58"/>
      <c r="G178" s="55"/>
      <c r="H178" s="247"/>
      <c r="I178" s="245">
        <f>I174+1</f>
        <v>43</v>
      </c>
      <c r="J178" s="112">
        <f>38248-1197+14*I178</f>
        <v>37653</v>
      </c>
      <c r="K178" s="55" t="s">
        <v>106</v>
      </c>
      <c r="L178" s="112">
        <f>38248+63+14*I178</f>
        <v>38913</v>
      </c>
      <c r="M178" s="245"/>
      <c r="N178" s="58"/>
      <c r="O178" s="58"/>
      <c r="P178" s="247"/>
      <c r="Q178" s="245"/>
      <c r="R178" s="249"/>
      <c r="S178" s="249"/>
      <c r="T178" s="247"/>
      <c r="U178" s="245"/>
      <c r="V178" s="249"/>
      <c r="W178" s="249"/>
      <c r="X178" s="249"/>
      <c r="Y178" s="247"/>
      <c r="Z178" s="245"/>
      <c r="AA178" s="249"/>
      <c r="AB178" s="249"/>
      <c r="AC178" s="249"/>
      <c r="AD178" s="247"/>
      <c r="AE178" s="360"/>
    </row>
    <row r="179" spans="1:31" x14ac:dyDescent="0.25">
      <c r="A179" s="189">
        <f t="shared" si="8"/>
        <v>171</v>
      </c>
      <c r="B179" s="112">
        <f t="shared" si="6"/>
        <v>37654.75</v>
      </c>
      <c r="C179" s="112" t="s">
        <v>106</v>
      </c>
      <c r="D179" s="112">
        <f t="shared" si="7"/>
        <v>38914.75</v>
      </c>
      <c r="E179" s="270">
        <f>E177+1</f>
        <v>86</v>
      </c>
      <c r="F179" s="112">
        <f>38248-1193.5+7*E179</f>
        <v>37656.5</v>
      </c>
      <c r="G179" s="55" t="s">
        <v>106</v>
      </c>
      <c r="H179" s="112">
        <f>38248+66.5+7*E179</f>
        <v>38916.5</v>
      </c>
      <c r="I179" s="245"/>
      <c r="J179" s="58"/>
      <c r="K179" s="55"/>
      <c r="L179" s="246"/>
      <c r="M179" s="245"/>
      <c r="N179" s="58"/>
      <c r="O179" s="58"/>
      <c r="P179" s="247"/>
      <c r="Q179" s="245"/>
      <c r="R179" s="250"/>
      <c r="S179" s="249"/>
      <c r="T179" s="251"/>
      <c r="U179" s="245"/>
      <c r="V179" s="249"/>
      <c r="W179" s="249"/>
      <c r="X179" s="249"/>
      <c r="Y179" s="247"/>
      <c r="Z179" s="245"/>
      <c r="AA179" s="249"/>
      <c r="AB179" s="249"/>
      <c r="AC179" s="249"/>
      <c r="AD179" s="247"/>
      <c r="AE179" s="202"/>
    </row>
    <row r="180" spans="1:31" x14ac:dyDescent="0.25">
      <c r="A180" s="189">
        <f t="shared" si="8"/>
        <v>172</v>
      </c>
      <c r="B180" s="112">
        <f t="shared" si="6"/>
        <v>37658.25</v>
      </c>
      <c r="C180" s="112" t="s">
        <v>106</v>
      </c>
      <c r="D180" s="112">
        <f t="shared" si="7"/>
        <v>38918.25</v>
      </c>
      <c r="E180" s="270"/>
      <c r="F180" s="58"/>
      <c r="G180" s="55"/>
      <c r="H180" s="247"/>
      <c r="I180" s="245"/>
      <c r="J180" s="58"/>
      <c r="K180" s="58"/>
      <c r="L180" s="247"/>
      <c r="M180" s="245">
        <f>M172+1</f>
        <v>22</v>
      </c>
      <c r="N180" s="112">
        <f>38248-1204+28*M180</f>
        <v>37660</v>
      </c>
      <c r="O180" s="55" t="s">
        <v>106</v>
      </c>
      <c r="P180" s="112">
        <f>38248+56+28*M180</f>
        <v>38920</v>
      </c>
      <c r="Q180" s="245"/>
      <c r="R180" s="249"/>
      <c r="S180" s="249"/>
      <c r="T180" s="247"/>
      <c r="U180" s="245"/>
      <c r="V180" s="249"/>
      <c r="W180" s="249"/>
      <c r="X180" s="249"/>
      <c r="Y180" s="247"/>
      <c r="Z180" s="245"/>
      <c r="AA180" s="249"/>
      <c r="AB180" s="249"/>
      <c r="AC180" s="249"/>
      <c r="AD180" s="247"/>
      <c r="AE180" s="202"/>
    </row>
    <row r="181" spans="1:31" x14ac:dyDescent="0.25">
      <c r="A181" s="189">
        <f t="shared" si="8"/>
        <v>173</v>
      </c>
      <c r="B181" s="112">
        <f t="shared" si="6"/>
        <v>37661.75</v>
      </c>
      <c r="C181" s="112" t="s">
        <v>106</v>
      </c>
      <c r="D181" s="112">
        <f t="shared" si="7"/>
        <v>38921.75</v>
      </c>
      <c r="E181" s="270">
        <f>E179+1</f>
        <v>87</v>
      </c>
      <c r="F181" s="112">
        <f>38248-1193.5+7*E181</f>
        <v>37663.5</v>
      </c>
      <c r="G181" s="55" t="s">
        <v>106</v>
      </c>
      <c r="H181" s="112">
        <f>38248+66.5+7*E181</f>
        <v>38923.5</v>
      </c>
      <c r="I181" s="245"/>
      <c r="J181" s="58"/>
      <c r="K181" s="58"/>
      <c r="L181" s="247"/>
      <c r="M181" s="245"/>
      <c r="N181" s="58"/>
      <c r="O181" s="58"/>
      <c r="P181" s="247"/>
      <c r="Q181" s="245"/>
      <c r="R181" s="249"/>
      <c r="S181" s="249"/>
      <c r="T181" s="247"/>
      <c r="U181" s="245"/>
      <c r="V181" s="249"/>
      <c r="W181" s="249"/>
      <c r="X181" s="249"/>
      <c r="Y181" s="247"/>
      <c r="Z181" s="245"/>
      <c r="AA181" s="249"/>
      <c r="AB181" s="249"/>
      <c r="AC181" s="249"/>
      <c r="AD181" s="247"/>
      <c r="AE181" s="202"/>
    </row>
    <row r="182" spans="1:31" x14ac:dyDescent="0.25">
      <c r="A182" s="189">
        <f t="shared" si="8"/>
        <v>174</v>
      </c>
      <c r="B182" s="112">
        <f t="shared" si="6"/>
        <v>37665.25</v>
      </c>
      <c r="C182" s="112" t="s">
        <v>106</v>
      </c>
      <c r="D182" s="112">
        <f t="shared" si="7"/>
        <v>38925.25</v>
      </c>
      <c r="E182" s="270"/>
      <c r="F182" s="58"/>
      <c r="G182" s="55"/>
      <c r="H182" s="247"/>
      <c r="I182" s="245">
        <f>I178+1</f>
        <v>44</v>
      </c>
      <c r="J182" s="112">
        <f>38248-1197+14*I182</f>
        <v>37667</v>
      </c>
      <c r="K182" s="55" t="s">
        <v>106</v>
      </c>
      <c r="L182" s="112">
        <f>38248+63+14*I182</f>
        <v>38927</v>
      </c>
      <c r="M182" s="245"/>
      <c r="N182" s="58"/>
      <c r="O182" s="58"/>
      <c r="P182" s="247"/>
      <c r="Q182" s="245"/>
      <c r="R182" s="250"/>
      <c r="S182" s="250"/>
      <c r="T182" s="251"/>
      <c r="U182" s="245"/>
      <c r="V182" s="249"/>
      <c r="W182" s="249"/>
      <c r="X182" s="249"/>
      <c r="Y182" s="247"/>
      <c r="Z182" s="245"/>
      <c r="AA182" s="249"/>
      <c r="AB182" s="249"/>
      <c r="AC182" s="249"/>
      <c r="AD182" s="247"/>
      <c r="AE182" s="202"/>
    </row>
    <row r="183" spans="1:31" x14ac:dyDescent="0.25">
      <c r="A183" s="189">
        <f t="shared" si="8"/>
        <v>175</v>
      </c>
      <c r="B183" s="112">
        <f t="shared" si="6"/>
        <v>37668.75</v>
      </c>
      <c r="C183" s="112" t="s">
        <v>106</v>
      </c>
      <c r="D183" s="112">
        <f t="shared" si="7"/>
        <v>38928.75</v>
      </c>
      <c r="E183" s="270">
        <f>E181+1</f>
        <v>88</v>
      </c>
      <c r="F183" s="112">
        <f>38248-1193.5+7*E183</f>
        <v>37670.5</v>
      </c>
      <c r="G183" s="55" t="s">
        <v>106</v>
      </c>
      <c r="H183" s="112">
        <f>38248+66.5+7*E183</f>
        <v>38930.5</v>
      </c>
      <c r="I183" s="245"/>
      <c r="J183" s="58"/>
      <c r="K183" s="55"/>
      <c r="L183" s="246"/>
      <c r="M183" s="245"/>
      <c r="N183" s="58"/>
      <c r="O183" s="58"/>
      <c r="P183" s="247"/>
      <c r="Q183" s="245"/>
      <c r="R183" s="249"/>
      <c r="S183" s="249"/>
      <c r="T183" s="247"/>
      <c r="U183" s="245"/>
      <c r="V183" s="249"/>
      <c r="W183" s="249"/>
      <c r="X183" s="249"/>
      <c r="Y183" s="247"/>
      <c r="Z183" s="245"/>
      <c r="AA183" s="249"/>
      <c r="AB183" s="249"/>
      <c r="AC183" s="249"/>
      <c r="AD183" s="247"/>
      <c r="AE183" s="202"/>
    </row>
    <row r="184" spans="1:31" ht="15.75" thickBot="1" x14ac:dyDescent="0.3">
      <c r="A184" s="255">
        <f t="shared" si="8"/>
        <v>176</v>
      </c>
      <c r="B184" s="47">
        <f t="shared" si="6"/>
        <v>37672.25</v>
      </c>
      <c r="C184" s="47" t="s">
        <v>106</v>
      </c>
      <c r="D184" s="47">
        <f t="shared" si="7"/>
        <v>38932.25</v>
      </c>
      <c r="E184" s="271"/>
      <c r="F184" s="68"/>
      <c r="G184" s="65"/>
      <c r="H184" s="251"/>
      <c r="I184" s="254"/>
      <c r="J184" s="68"/>
      <c r="K184" s="68"/>
      <c r="L184" s="251"/>
      <c r="M184" s="254"/>
      <c r="N184" s="68"/>
      <c r="O184" s="68"/>
      <c r="P184" s="251"/>
      <c r="Q184" s="254"/>
      <c r="R184" s="250"/>
      <c r="S184" s="250"/>
      <c r="T184" s="251"/>
      <c r="U184" s="245">
        <v>6</v>
      </c>
      <c r="V184" s="112">
        <f>38248-1246+112*U184</f>
        <v>37674</v>
      </c>
      <c r="W184" s="249" t="s">
        <v>106</v>
      </c>
      <c r="X184" s="112">
        <f>38248+14+112*U184</f>
        <v>38934</v>
      </c>
      <c r="Y184" s="247"/>
      <c r="Z184" s="245"/>
      <c r="AA184" s="112"/>
      <c r="AB184" s="249"/>
      <c r="AC184" s="112"/>
      <c r="AD184" s="247"/>
      <c r="AE184" s="346"/>
    </row>
    <row r="185" spans="1:31" ht="15.75" thickTop="1" x14ac:dyDescent="0.25">
      <c r="A185" s="347">
        <f t="shared" si="8"/>
        <v>177</v>
      </c>
      <c r="B185" s="298">
        <f t="shared" si="6"/>
        <v>37675.75</v>
      </c>
      <c r="C185" s="298" t="s">
        <v>106</v>
      </c>
      <c r="D185" s="298">
        <f t="shared" si="7"/>
        <v>38935.75</v>
      </c>
      <c r="E185" s="369">
        <f>E183+1</f>
        <v>89</v>
      </c>
      <c r="F185" s="298">
        <f>38248-1193.5+7*E185</f>
        <v>37677.5</v>
      </c>
      <c r="G185" s="349" t="s">
        <v>106</v>
      </c>
      <c r="H185" s="298">
        <f>38248+66.5+7*E185</f>
        <v>38937.5</v>
      </c>
      <c r="I185" s="326"/>
      <c r="J185" s="298"/>
      <c r="K185" s="298"/>
      <c r="L185" s="325"/>
      <c r="M185" s="326"/>
      <c r="N185" s="298"/>
      <c r="O185" s="298"/>
      <c r="P185" s="325"/>
      <c r="Q185" s="326"/>
      <c r="R185" s="348"/>
      <c r="S185" s="348"/>
      <c r="T185" s="325"/>
      <c r="U185" s="326"/>
      <c r="V185" s="348"/>
      <c r="W185" s="348"/>
      <c r="X185" s="348"/>
      <c r="Y185" s="325"/>
      <c r="Z185" s="326"/>
      <c r="AA185" s="348"/>
      <c r="AB185" s="348"/>
      <c r="AC185" s="348"/>
      <c r="AD185" s="325"/>
      <c r="AE185" s="328"/>
    </row>
    <row r="186" spans="1:31" x14ac:dyDescent="0.25">
      <c r="A186" s="189">
        <f t="shared" si="8"/>
        <v>178</v>
      </c>
      <c r="B186" s="112">
        <f t="shared" si="6"/>
        <v>37679.25</v>
      </c>
      <c r="C186" s="112" t="s">
        <v>106</v>
      </c>
      <c r="D186" s="112">
        <f t="shared" si="7"/>
        <v>38939.25</v>
      </c>
      <c r="E186" s="270"/>
      <c r="F186" s="58"/>
      <c r="G186" s="55"/>
      <c r="H186" s="247"/>
      <c r="I186" s="245">
        <f>I182+1</f>
        <v>45</v>
      </c>
      <c r="J186" s="112">
        <f>38248-1197+14*I186</f>
        <v>37681</v>
      </c>
      <c r="K186" s="55" t="s">
        <v>106</v>
      </c>
      <c r="L186" s="112">
        <f>38248+63+14*I186</f>
        <v>38941</v>
      </c>
      <c r="M186" s="245"/>
      <c r="N186" s="58"/>
      <c r="O186" s="58"/>
      <c r="P186" s="247"/>
      <c r="Q186" s="245"/>
      <c r="R186" s="249"/>
      <c r="S186" s="249"/>
      <c r="T186" s="247"/>
      <c r="U186" s="245"/>
      <c r="V186" s="249"/>
      <c r="W186" s="249"/>
      <c r="X186" s="249"/>
      <c r="Y186" s="247"/>
      <c r="Z186" s="245"/>
      <c r="AA186" s="249"/>
      <c r="AB186" s="249"/>
      <c r="AC186" s="249"/>
      <c r="AD186" s="247"/>
      <c r="AE186" s="202"/>
    </row>
    <row r="187" spans="1:31" x14ac:dyDescent="0.25">
      <c r="A187" s="189">
        <f t="shared" si="8"/>
        <v>179</v>
      </c>
      <c r="B187" s="112">
        <f t="shared" si="6"/>
        <v>37682.75</v>
      </c>
      <c r="C187" s="112" t="s">
        <v>106</v>
      </c>
      <c r="D187" s="112">
        <f t="shared" si="7"/>
        <v>38942.75</v>
      </c>
      <c r="E187" s="270">
        <f>E185+1</f>
        <v>90</v>
      </c>
      <c r="F187" s="112">
        <f>38248-1193.5+7*E187</f>
        <v>37684.5</v>
      </c>
      <c r="G187" s="55" t="s">
        <v>106</v>
      </c>
      <c r="H187" s="112">
        <f>38248+66.5+7*E187</f>
        <v>38944.5</v>
      </c>
      <c r="I187" s="245"/>
      <c r="J187" s="58"/>
      <c r="K187" s="55"/>
      <c r="L187" s="246"/>
      <c r="M187" s="245"/>
      <c r="N187" s="58"/>
      <c r="O187" s="58"/>
      <c r="P187" s="247"/>
      <c r="Q187" s="245"/>
      <c r="R187" s="249"/>
      <c r="S187" s="249"/>
      <c r="T187" s="247"/>
      <c r="U187" s="245"/>
      <c r="V187" s="249"/>
      <c r="W187" s="249"/>
      <c r="X187" s="249"/>
      <c r="Y187" s="247"/>
      <c r="Z187" s="245"/>
      <c r="AA187" s="249"/>
      <c r="AB187" s="249"/>
      <c r="AC187" s="249"/>
      <c r="AD187" s="247"/>
      <c r="AE187" s="202"/>
    </row>
    <row r="188" spans="1:31" x14ac:dyDescent="0.25">
      <c r="A188" s="189">
        <f t="shared" si="8"/>
        <v>180</v>
      </c>
      <c r="B188" s="112">
        <f t="shared" si="6"/>
        <v>37686.25</v>
      </c>
      <c r="C188" s="112" t="s">
        <v>106</v>
      </c>
      <c r="D188" s="112">
        <f t="shared" si="7"/>
        <v>38946.25</v>
      </c>
      <c r="E188" s="270"/>
      <c r="F188" s="58"/>
      <c r="G188" s="55"/>
      <c r="H188" s="247"/>
      <c r="I188" s="245"/>
      <c r="J188" s="58"/>
      <c r="K188" s="58"/>
      <c r="L188" s="247"/>
      <c r="M188" s="245">
        <f>M180+1</f>
        <v>23</v>
      </c>
      <c r="N188" s="112">
        <f>38248-1204+28*M188</f>
        <v>37688</v>
      </c>
      <c r="O188" s="55" t="s">
        <v>106</v>
      </c>
      <c r="P188" s="112">
        <f>38248+56+28*M188</f>
        <v>38948</v>
      </c>
      <c r="Q188" s="245"/>
      <c r="R188" s="58"/>
      <c r="S188" s="55"/>
      <c r="T188" s="246"/>
      <c r="U188" s="245"/>
      <c r="V188" s="112"/>
      <c r="W188" s="55"/>
      <c r="X188" s="55"/>
      <c r="Y188" s="112"/>
      <c r="Z188" s="245"/>
      <c r="AA188" s="112"/>
      <c r="AB188" s="55"/>
      <c r="AC188" s="55"/>
      <c r="AD188" s="112"/>
      <c r="AE188" s="202"/>
    </row>
    <row r="189" spans="1:31" x14ac:dyDescent="0.25">
      <c r="A189" s="189">
        <f t="shared" si="8"/>
        <v>181</v>
      </c>
      <c r="B189" s="112">
        <f t="shared" si="6"/>
        <v>37689.75</v>
      </c>
      <c r="C189" s="112" t="s">
        <v>106</v>
      </c>
      <c r="D189" s="112">
        <f t="shared" si="7"/>
        <v>38949.75</v>
      </c>
      <c r="E189" s="270">
        <f>E187+1</f>
        <v>91</v>
      </c>
      <c r="F189" s="112">
        <f>38248-1193.5+7*E189</f>
        <v>37691.5</v>
      </c>
      <c r="G189" s="55" t="s">
        <v>106</v>
      </c>
      <c r="H189" s="112">
        <f>38248+66.5+7*E189</f>
        <v>38951.5</v>
      </c>
      <c r="I189" s="245"/>
      <c r="J189" s="58"/>
      <c r="K189" s="58"/>
      <c r="L189" s="247"/>
      <c r="M189" s="245"/>
      <c r="N189" s="58"/>
      <c r="O189" s="58"/>
      <c r="P189" s="247"/>
      <c r="Q189" s="245"/>
      <c r="R189" s="249"/>
      <c r="S189" s="249"/>
      <c r="T189" s="247"/>
      <c r="U189" s="245"/>
      <c r="V189" s="249"/>
      <c r="W189" s="249"/>
      <c r="X189" s="249"/>
      <c r="Y189" s="247"/>
      <c r="Z189" s="245"/>
      <c r="AA189" s="249"/>
      <c r="AB189" s="249"/>
      <c r="AC189" s="249"/>
      <c r="AD189" s="247"/>
      <c r="AE189" s="202"/>
    </row>
    <row r="190" spans="1:31" x14ac:dyDescent="0.25">
      <c r="A190" s="189">
        <f t="shared" si="8"/>
        <v>182</v>
      </c>
      <c r="B190" s="112">
        <f t="shared" si="6"/>
        <v>37693.25</v>
      </c>
      <c r="C190" s="112" t="s">
        <v>106</v>
      </c>
      <c r="D190" s="112">
        <f t="shared" si="7"/>
        <v>38953.25</v>
      </c>
      <c r="E190" s="270"/>
      <c r="F190" s="58"/>
      <c r="G190" s="55"/>
      <c r="H190" s="247"/>
      <c r="I190" s="245">
        <f>I186+1</f>
        <v>46</v>
      </c>
      <c r="J190" s="112">
        <f>38248-1197+14*I190</f>
        <v>37695</v>
      </c>
      <c r="K190" s="55" t="s">
        <v>106</v>
      </c>
      <c r="L190" s="112">
        <f>38248+63+14*I190</f>
        <v>38955</v>
      </c>
      <c r="M190" s="245"/>
      <c r="N190" s="58"/>
      <c r="O190" s="58"/>
      <c r="P190" s="247"/>
      <c r="Q190" s="245"/>
      <c r="R190" s="249"/>
      <c r="S190" s="249"/>
      <c r="T190" s="247"/>
      <c r="U190" s="245"/>
      <c r="V190" s="249"/>
      <c r="W190" s="249"/>
      <c r="X190" s="249"/>
      <c r="Y190" s="247"/>
      <c r="Z190" s="245"/>
      <c r="AA190" s="249"/>
      <c r="AB190" s="249"/>
      <c r="AC190" s="249"/>
      <c r="AD190" s="247"/>
      <c r="AE190" s="202"/>
    </row>
    <row r="191" spans="1:31" x14ac:dyDescent="0.25">
      <c r="A191" s="189">
        <f t="shared" si="8"/>
        <v>183</v>
      </c>
      <c r="B191" s="112">
        <f t="shared" si="6"/>
        <v>37696.75</v>
      </c>
      <c r="C191" s="112" t="s">
        <v>106</v>
      </c>
      <c r="D191" s="112">
        <f t="shared" si="7"/>
        <v>38956.75</v>
      </c>
      <c r="E191" s="270">
        <f>E189+1</f>
        <v>92</v>
      </c>
      <c r="F191" s="112">
        <f>38248-1193.5+7*E191</f>
        <v>37698.5</v>
      </c>
      <c r="G191" s="55" t="s">
        <v>106</v>
      </c>
      <c r="H191" s="112">
        <f>38248+66.5+7*E191</f>
        <v>38958.5</v>
      </c>
      <c r="I191" s="245"/>
      <c r="J191" s="58"/>
      <c r="K191" s="55"/>
      <c r="L191" s="246"/>
      <c r="M191" s="245"/>
      <c r="N191" s="58"/>
      <c r="O191" s="58"/>
      <c r="P191" s="247"/>
      <c r="Q191" s="245"/>
      <c r="R191" s="249"/>
      <c r="S191" s="249"/>
      <c r="T191" s="247"/>
      <c r="U191" s="245"/>
      <c r="V191" s="249"/>
      <c r="W191" s="249"/>
      <c r="X191" s="249"/>
      <c r="Y191" s="247"/>
      <c r="Z191" s="245"/>
      <c r="AA191" s="249"/>
      <c r="AB191" s="249"/>
      <c r="AC191" s="249"/>
      <c r="AD191" s="247"/>
      <c r="AE191" s="202"/>
    </row>
    <row r="192" spans="1:31" x14ac:dyDescent="0.25">
      <c r="A192" s="189">
        <f t="shared" si="8"/>
        <v>184</v>
      </c>
      <c r="B192" s="112">
        <f t="shared" si="6"/>
        <v>37700.25</v>
      </c>
      <c r="C192" s="112" t="s">
        <v>106</v>
      </c>
      <c r="D192" s="112">
        <f t="shared" si="7"/>
        <v>38960.25</v>
      </c>
      <c r="E192" s="270"/>
      <c r="F192" s="58"/>
      <c r="G192" s="55"/>
      <c r="H192" s="247"/>
      <c r="I192" s="245"/>
      <c r="J192" s="58"/>
      <c r="K192" s="58"/>
      <c r="L192" s="247"/>
      <c r="M192" s="245"/>
      <c r="N192" s="58"/>
      <c r="O192" s="58"/>
      <c r="P192" s="247"/>
      <c r="Q192" s="245">
        <f>Q176+1</f>
        <v>12</v>
      </c>
      <c r="R192" s="112">
        <f>38248-1218+56*Q192</f>
        <v>37702</v>
      </c>
      <c r="S192" s="55" t="s">
        <v>106</v>
      </c>
      <c r="T192" s="112">
        <f>38248+42+56*Q192</f>
        <v>38962</v>
      </c>
      <c r="U192" s="245"/>
      <c r="V192" s="249"/>
      <c r="W192" s="249"/>
      <c r="X192" s="249"/>
      <c r="Y192" s="247"/>
      <c r="Z192" s="245"/>
      <c r="AA192" s="249"/>
      <c r="AB192" s="249"/>
      <c r="AC192" s="249"/>
      <c r="AD192" s="247"/>
      <c r="AE192" s="360" t="s">
        <v>166</v>
      </c>
    </row>
    <row r="193" spans="1:31" x14ac:dyDescent="0.25">
      <c r="A193" s="189">
        <f t="shared" si="8"/>
        <v>185</v>
      </c>
      <c r="B193" s="112">
        <f t="shared" si="6"/>
        <v>37703.75</v>
      </c>
      <c r="C193" s="112" t="s">
        <v>106</v>
      </c>
      <c r="D193" s="112">
        <f t="shared" si="7"/>
        <v>38963.75</v>
      </c>
      <c r="E193" s="270">
        <f>E191+1</f>
        <v>93</v>
      </c>
      <c r="F193" s="112">
        <f>38248-1193.5+7*E193</f>
        <v>37705.5</v>
      </c>
      <c r="G193" s="55" t="s">
        <v>106</v>
      </c>
      <c r="H193" s="112">
        <f>38248+66.5+7*E193</f>
        <v>38965.5</v>
      </c>
      <c r="I193" s="245"/>
      <c r="J193" s="58"/>
      <c r="K193" s="58"/>
      <c r="L193" s="247"/>
      <c r="M193" s="245"/>
      <c r="N193" s="58"/>
      <c r="O193" s="58"/>
      <c r="P193" s="247"/>
      <c r="Q193" s="245"/>
      <c r="R193" s="249"/>
      <c r="S193" s="249"/>
      <c r="T193" s="247"/>
      <c r="U193" s="245"/>
      <c r="V193" s="249"/>
      <c r="W193" s="249"/>
      <c r="X193" s="249"/>
      <c r="Y193" s="247"/>
      <c r="Z193" s="245"/>
      <c r="AA193" s="249"/>
      <c r="AB193" s="249"/>
      <c r="AC193" s="249"/>
      <c r="AD193" s="247"/>
      <c r="AE193" s="360"/>
    </row>
    <row r="194" spans="1:31" x14ac:dyDescent="0.25">
      <c r="A194" s="189">
        <f t="shared" si="8"/>
        <v>186</v>
      </c>
      <c r="B194" s="112">
        <f t="shared" si="6"/>
        <v>37707.25</v>
      </c>
      <c r="C194" s="112" t="s">
        <v>106</v>
      </c>
      <c r="D194" s="112">
        <f t="shared" si="7"/>
        <v>38967.25</v>
      </c>
      <c r="E194" s="270"/>
      <c r="F194" s="58"/>
      <c r="G194" s="55"/>
      <c r="H194" s="247"/>
      <c r="I194" s="245">
        <f>I190+1</f>
        <v>47</v>
      </c>
      <c r="J194" s="112">
        <f>38248-1197+14*I194</f>
        <v>37709</v>
      </c>
      <c r="K194" s="55" t="s">
        <v>106</v>
      </c>
      <c r="L194" s="112">
        <f>38248+63+14*I194</f>
        <v>38969</v>
      </c>
      <c r="M194" s="245"/>
      <c r="N194" s="58"/>
      <c r="O194" s="58"/>
      <c r="P194" s="247"/>
      <c r="Q194" s="245"/>
      <c r="R194" s="249"/>
      <c r="S194" s="249"/>
      <c r="T194" s="247"/>
      <c r="U194" s="245"/>
      <c r="V194" s="249"/>
      <c r="W194" s="249"/>
      <c r="X194" s="249"/>
      <c r="Y194" s="247"/>
      <c r="Z194" s="245"/>
      <c r="AA194" s="249"/>
      <c r="AB194" s="249"/>
      <c r="AC194" s="249"/>
      <c r="AD194" s="247"/>
      <c r="AE194" s="202"/>
    </row>
    <row r="195" spans="1:31" x14ac:dyDescent="0.25">
      <c r="A195" s="189">
        <f t="shared" si="8"/>
        <v>187</v>
      </c>
      <c r="B195" s="112">
        <f t="shared" si="6"/>
        <v>37710.75</v>
      </c>
      <c r="C195" s="112" t="s">
        <v>106</v>
      </c>
      <c r="D195" s="112">
        <f t="shared" si="7"/>
        <v>38970.75</v>
      </c>
      <c r="E195" s="270">
        <f>E193+1</f>
        <v>94</v>
      </c>
      <c r="F195" s="112">
        <f>38248-1193.5+7*E195</f>
        <v>37712.5</v>
      </c>
      <c r="G195" s="55" t="s">
        <v>106</v>
      </c>
      <c r="H195" s="112">
        <f>38248+66.5+7*E195</f>
        <v>38972.5</v>
      </c>
      <c r="I195" s="245"/>
      <c r="J195" s="58"/>
      <c r="K195" s="55"/>
      <c r="L195" s="246"/>
      <c r="M195" s="245"/>
      <c r="N195" s="58"/>
      <c r="O195" s="58"/>
      <c r="P195" s="247"/>
      <c r="Q195" s="245"/>
      <c r="R195" s="250"/>
      <c r="S195" s="249"/>
      <c r="T195" s="251"/>
      <c r="U195" s="245"/>
      <c r="V195" s="249"/>
      <c r="W195" s="249"/>
      <c r="X195" s="249"/>
      <c r="Y195" s="247"/>
      <c r="Z195" s="245"/>
      <c r="AA195" s="249"/>
      <c r="AB195" s="249"/>
      <c r="AC195" s="249"/>
      <c r="AD195" s="247"/>
      <c r="AE195" s="202"/>
    </row>
    <row r="196" spans="1:31" x14ac:dyDescent="0.25">
      <c r="A196" s="189">
        <f t="shared" si="8"/>
        <v>188</v>
      </c>
      <c r="B196" s="112">
        <f t="shared" si="6"/>
        <v>37714.25</v>
      </c>
      <c r="C196" s="112" t="s">
        <v>106</v>
      </c>
      <c r="D196" s="112">
        <f t="shared" si="7"/>
        <v>38974.25</v>
      </c>
      <c r="E196" s="270"/>
      <c r="F196" s="58"/>
      <c r="G196" s="55"/>
      <c r="H196" s="247"/>
      <c r="I196" s="245"/>
      <c r="J196" s="58"/>
      <c r="K196" s="58"/>
      <c r="L196" s="247"/>
      <c r="M196" s="245">
        <f>M188+1</f>
        <v>24</v>
      </c>
      <c r="N196" s="112">
        <f>38248-1204+28*M196</f>
        <v>37716</v>
      </c>
      <c r="O196" s="55" t="s">
        <v>106</v>
      </c>
      <c r="P196" s="112">
        <f>38248+56+28*M196</f>
        <v>38976</v>
      </c>
      <c r="Q196" s="245"/>
      <c r="R196" s="249"/>
      <c r="S196" s="249"/>
      <c r="T196" s="247"/>
      <c r="U196" s="245"/>
      <c r="V196" s="249"/>
      <c r="W196" s="249"/>
      <c r="X196" s="249"/>
      <c r="Y196" s="247"/>
      <c r="Z196" s="245"/>
      <c r="AA196" s="249"/>
      <c r="AB196" s="249"/>
      <c r="AC196" s="249"/>
      <c r="AD196" s="247"/>
      <c r="AE196" s="202"/>
    </row>
    <row r="197" spans="1:31" x14ac:dyDescent="0.25">
      <c r="A197" s="189">
        <f t="shared" si="8"/>
        <v>189</v>
      </c>
      <c r="B197" s="112">
        <f t="shared" si="6"/>
        <v>37717.75</v>
      </c>
      <c r="C197" s="112" t="s">
        <v>106</v>
      </c>
      <c r="D197" s="112">
        <f t="shared" si="7"/>
        <v>38977.75</v>
      </c>
      <c r="E197" s="270">
        <f>E195+1</f>
        <v>95</v>
      </c>
      <c r="F197" s="112">
        <f>38248-1193.5+7*E197</f>
        <v>37719.5</v>
      </c>
      <c r="G197" s="55" t="s">
        <v>106</v>
      </c>
      <c r="H197" s="112">
        <f>38248+66.5+7*E197</f>
        <v>38979.5</v>
      </c>
      <c r="I197" s="245"/>
      <c r="J197" s="58"/>
      <c r="K197" s="58"/>
      <c r="L197" s="247"/>
      <c r="M197" s="245"/>
      <c r="N197" s="58"/>
      <c r="O197" s="58"/>
      <c r="P197" s="247"/>
      <c r="Q197" s="245"/>
      <c r="R197" s="249"/>
      <c r="S197" s="249"/>
      <c r="T197" s="247"/>
      <c r="U197" s="245"/>
      <c r="V197" s="249"/>
      <c r="W197" s="249"/>
      <c r="X197" s="249"/>
      <c r="Y197" s="247"/>
      <c r="Z197" s="245"/>
      <c r="AA197" s="249"/>
      <c r="AB197" s="249"/>
      <c r="AC197" s="249"/>
      <c r="AD197" s="247"/>
      <c r="AE197" s="202"/>
    </row>
    <row r="198" spans="1:31" x14ac:dyDescent="0.25">
      <c r="A198" s="189">
        <f t="shared" si="8"/>
        <v>190</v>
      </c>
      <c r="B198" s="112">
        <f t="shared" si="6"/>
        <v>37721.25</v>
      </c>
      <c r="C198" s="112" t="s">
        <v>106</v>
      </c>
      <c r="D198" s="112">
        <f t="shared" si="7"/>
        <v>38981.25</v>
      </c>
      <c r="E198" s="270"/>
      <c r="F198" s="58"/>
      <c r="G198" s="55"/>
      <c r="H198" s="247"/>
      <c r="I198" s="245">
        <f>I194+1</f>
        <v>48</v>
      </c>
      <c r="J198" s="112">
        <f>38248-1197+14*I198</f>
        <v>37723</v>
      </c>
      <c r="K198" s="55" t="s">
        <v>106</v>
      </c>
      <c r="L198" s="112">
        <f>38248+63+14*I198</f>
        <v>38983</v>
      </c>
      <c r="M198" s="245"/>
      <c r="N198" s="58"/>
      <c r="O198" s="58"/>
      <c r="P198" s="247"/>
      <c r="Q198" s="245"/>
      <c r="R198" s="250"/>
      <c r="S198" s="250"/>
      <c r="T198" s="251"/>
      <c r="U198" s="245"/>
      <c r="V198" s="249"/>
      <c r="W198" s="249"/>
      <c r="X198" s="249"/>
      <c r="Y198" s="247"/>
      <c r="Z198" s="245"/>
      <c r="AA198" s="249"/>
      <c r="AB198" s="249"/>
      <c r="AC198" s="249"/>
      <c r="AD198" s="247"/>
      <c r="AE198" s="202"/>
    </row>
    <row r="199" spans="1:31" ht="15.75" thickBot="1" x14ac:dyDescent="0.3">
      <c r="A199" s="189">
        <f t="shared" si="8"/>
        <v>191</v>
      </c>
      <c r="B199" s="112">
        <f t="shared" si="6"/>
        <v>37724.75</v>
      </c>
      <c r="C199" s="112" t="s">
        <v>106</v>
      </c>
      <c r="D199" s="112">
        <f t="shared" si="7"/>
        <v>38984.75</v>
      </c>
      <c r="E199" s="270">
        <f>E197+1</f>
        <v>96</v>
      </c>
      <c r="F199" s="112">
        <f>38248-1193.5+7*E199</f>
        <v>37726.5</v>
      </c>
      <c r="G199" s="55" t="s">
        <v>106</v>
      </c>
      <c r="H199" s="112">
        <f>38248+66.5+7*E199</f>
        <v>38986.5</v>
      </c>
      <c r="I199" s="245"/>
      <c r="J199" s="58"/>
      <c r="K199" s="55"/>
      <c r="L199" s="246"/>
      <c r="M199" s="245"/>
      <c r="N199" s="58"/>
      <c r="O199" s="58"/>
      <c r="P199" s="247"/>
      <c r="Q199" s="245"/>
      <c r="R199" s="249"/>
      <c r="S199" s="249"/>
      <c r="T199" s="247"/>
      <c r="U199" s="245"/>
      <c r="V199" s="249"/>
      <c r="W199" s="249"/>
      <c r="X199" s="249"/>
      <c r="Y199" s="247"/>
      <c r="Z199" s="245"/>
      <c r="AA199" s="249"/>
      <c r="AB199" s="249"/>
      <c r="AC199" s="249"/>
      <c r="AD199" s="247"/>
      <c r="AE199" s="202"/>
    </row>
    <row r="200" spans="1:31" ht="16.5" thickTop="1" thickBot="1" x14ac:dyDescent="0.3">
      <c r="A200" s="255">
        <f t="shared" si="8"/>
        <v>192</v>
      </c>
      <c r="B200" s="47">
        <f t="shared" si="6"/>
        <v>37728.25</v>
      </c>
      <c r="C200" s="47" t="s">
        <v>106</v>
      </c>
      <c r="D200" s="47">
        <f t="shared" si="7"/>
        <v>38988.25</v>
      </c>
      <c r="E200" s="370"/>
      <c r="F200" s="371"/>
      <c r="G200" s="372"/>
      <c r="H200" s="373"/>
      <c r="I200" s="374"/>
      <c r="J200" s="371"/>
      <c r="K200" s="371"/>
      <c r="L200" s="373"/>
      <c r="M200" s="374"/>
      <c r="N200" s="371"/>
      <c r="O200" s="371"/>
      <c r="P200" s="373"/>
      <c r="Q200" s="374"/>
      <c r="R200" s="375"/>
      <c r="S200" s="375"/>
      <c r="T200" s="373"/>
      <c r="U200" s="374"/>
      <c r="V200" s="375"/>
      <c r="W200" s="375"/>
      <c r="X200" s="375"/>
      <c r="Y200" s="373"/>
      <c r="Z200" s="657">
        <v>6</v>
      </c>
      <c r="AA200" s="660">
        <f>38248-1190+112*Z200</f>
        <v>37730</v>
      </c>
      <c r="AB200" s="660"/>
      <c r="AC200" s="660">
        <f>38248+70+112*Z200</f>
        <v>38990</v>
      </c>
      <c r="AD200" s="656"/>
      <c r="AE200" s="376"/>
    </row>
    <row r="201" spans="1:31" ht="15.75" thickTop="1" x14ac:dyDescent="0.25">
      <c r="A201" s="721">
        <f t="shared" si="8"/>
        <v>193</v>
      </c>
      <c r="B201" s="655">
        <f t="shared" si="6"/>
        <v>37731.75</v>
      </c>
      <c r="C201" s="655" t="s">
        <v>106</v>
      </c>
      <c r="D201" s="655">
        <f t="shared" si="7"/>
        <v>38991.75</v>
      </c>
      <c r="E201" s="685">
        <f>E199+1</f>
        <v>97</v>
      </c>
      <c r="F201" s="617">
        <f>38248-1193.5+7*E201</f>
        <v>37733.5</v>
      </c>
      <c r="G201" s="654" t="s">
        <v>106</v>
      </c>
      <c r="H201" s="617">
        <f>38248+66.5+7*E201</f>
        <v>38993.5</v>
      </c>
      <c r="I201" s="653"/>
      <c r="J201" s="617"/>
      <c r="K201" s="617"/>
      <c r="L201" s="658"/>
      <c r="M201" s="653"/>
      <c r="N201" s="617"/>
      <c r="O201" s="617"/>
      <c r="P201" s="658"/>
      <c r="Q201" s="653"/>
      <c r="R201" s="661"/>
      <c r="S201" s="661"/>
      <c r="T201" s="658"/>
      <c r="U201" s="653"/>
      <c r="V201" s="661"/>
      <c r="W201" s="661"/>
      <c r="X201" s="661"/>
      <c r="Y201" s="658"/>
      <c r="Z201" s="653"/>
      <c r="AA201" s="661"/>
      <c r="AB201" s="661"/>
      <c r="AC201" s="661"/>
      <c r="AD201" s="658"/>
      <c r="AE201" s="687"/>
    </row>
    <row r="202" spans="1:31" x14ac:dyDescent="0.25">
      <c r="A202" s="606">
        <f t="shared" si="8"/>
        <v>194</v>
      </c>
      <c r="B202" s="617">
        <f t="shared" ref="B202:B265" si="9">38248-1191.75+3.5*A202</f>
        <v>37735.25</v>
      </c>
      <c r="C202" s="617" t="s">
        <v>106</v>
      </c>
      <c r="D202" s="617">
        <f t="shared" ref="D202:D265" si="10">38248+68.25+3.5*A202</f>
        <v>38995.25</v>
      </c>
      <c r="E202" s="638"/>
      <c r="F202" s="618"/>
      <c r="G202" s="620"/>
      <c r="H202" s="622"/>
      <c r="I202" s="619">
        <f>I198+1</f>
        <v>49</v>
      </c>
      <c r="J202" s="617">
        <f>38248-1197+14*I202</f>
        <v>37737</v>
      </c>
      <c r="K202" s="620" t="s">
        <v>106</v>
      </c>
      <c r="L202" s="617">
        <f>38248+63+14*I202</f>
        <v>38997</v>
      </c>
      <c r="M202" s="619"/>
      <c r="N202" s="618"/>
      <c r="O202" s="618"/>
      <c r="P202" s="622"/>
      <c r="Q202" s="619"/>
      <c r="R202" s="624"/>
      <c r="S202" s="624"/>
      <c r="T202" s="622"/>
      <c r="U202" s="619"/>
      <c r="V202" s="624"/>
      <c r="W202" s="624"/>
      <c r="X202" s="624"/>
      <c r="Y202" s="622"/>
      <c r="Z202" s="619"/>
      <c r="AA202" s="624"/>
      <c r="AB202" s="624"/>
      <c r="AC202" s="624"/>
      <c r="AD202" s="622"/>
      <c r="AE202" s="636"/>
    </row>
    <row r="203" spans="1:31" x14ac:dyDescent="0.25">
      <c r="A203" s="606">
        <f t="shared" si="8"/>
        <v>195</v>
      </c>
      <c r="B203" s="617">
        <f t="shared" si="9"/>
        <v>37738.75</v>
      </c>
      <c r="C203" s="617" t="s">
        <v>106</v>
      </c>
      <c r="D203" s="617">
        <f t="shared" si="10"/>
        <v>38998.75</v>
      </c>
      <c r="E203" s="638">
        <f>E201+1</f>
        <v>98</v>
      </c>
      <c r="F203" s="617">
        <f>38248-1193.5+7*E203</f>
        <v>37740.5</v>
      </c>
      <c r="G203" s="620" t="s">
        <v>106</v>
      </c>
      <c r="H203" s="617">
        <f>38248+66.5+7*E203</f>
        <v>39000.5</v>
      </c>
      <c r="I203" s="619"/>
      <c r="J203" s="618"/>
      <c r="K203" s="620"/>
      <c r="L203" s="621"/>
      <c r="M203" s="619"/>
      <c r="N203" s="618"/>
      <c r="O203" s="618"/>
      <c r="P203" s="622"/>
      <c r="Q203" s="619"/>
      <c r="R203" s="624"/>
      <c r="S203" s="624"/>
      <c r="T203" s="622"/>
      <c r="U203" s="619"/>
      <c r="V203" s="624"/>
      <c r="W203" s="624"/>
      <c r="X203" s="624"/>
      <c r="Y203" s="622"/>
      <c r="Z203" s="619"/>
      <c r="AA203" s="624"/>
      <c r="AB203" s="624"/>
      <c r="AC203" s="624"/>
      <c r="AD203" s="622"/>
      <c r="AE203" s="636"/>
    </row>
    <row r="204" spans="1:31" x14ac:dyDescent="0.25">
      <c r="A204" s="606">
        <f t="shared" si="8"/>
        <v>196</v>
      </c>
      <c r="B204" s="617">
        <f t="shared" si="9"/>
        <v>37742.25</v>
      </c>
      <c r="C204" s="617" t="s">
        <v>106</v>
      </c>
      <c r="D204" s="617">
        <f t="shared" si="10"/>
        <v>39002.25</v>
      </c>
      <c r="E204" s="638"/>
      <c r="F204" s="618"/>
      <c r="G204" s="620"/>
      <c r="H204" s="622"/>
      <c r="I204" s="619"/>
      <c r="J204" s="618"/>
      <c r="K204" s="618"/>
      <c r="L204" s="622"/>
      <c r="M204" s="619">
        <f>M196+1</f>
        <v>25</v>
      </c>
      <c r="N204" s="617">
        <f>38248-1204+28*M204</f>
        <v>37744</v>
      </c>
      <c r="O204" s="620" t="s">
        <v>106</v>
      </c>
      <c r="P204" s="617">
        <f>38248+56+28*M204</f>
        <v>39004</v>
      </c>
      <c r="Q204" s="619"/>
      <c r="R204" s="618"/>
      <c r="S204" s="620"/>
      <c r="T204" s="621"/>
      <c r="U204" s="619"/>
      <c r="V204" s="624"/>
      <c r="W204" s="624"/>
      <c r="X204" s="624"/>
      <c r="Y204" s="622"/>
      <c r="Z204" s="619"/>
      <c r="AA204" s="624"/>
      <c r="AB204" s="624"/>
      <c r="AC204" s="624"/>
      <c r="AD204" s="622"/>
      <c r="AE204" s="636"/>
    </row>
    <row r="205" spans="1:31" x14ac:dyDescent="0.25">
      <c r="A205" s="606">
        <f t="shared" si="8"/>
        <v>197</v>
      </c>
      <c r="B205" s="617">
        <f t="shared" si="9"/>
        <v>37745.75</v>
      </c>
      <c r="C205" s="617" t="s">
        <v>106</v>
      </c>
      <c r="D205" s="617">
        <f t="shared" si="10"/>
        <v>39005.75</v>
      </c>
      <c r="E205" s="638">
        <f>E203+1</f>
        <v>99</v>
      </c>
      <c r="F205" s="617">
        <f>38248-1193.5+7*E205</f>
        <v>37747.5</v>
      </c>
      <c r="G205" s="620" t="s">
        <v>106</v>
      </c>
      <c r="H205" s="617">
        <f>38248+66.5+7*E205</f>
        <v>39007.5</v>
      </c>
      <c r="I205" s="619"/>
      <c r="J205" s="618"/>
      <c r="K205" s="618"/>
      <c r="L205" s="622"/>
      <c r="M205" s="619"/>
      <c r="N205" s="618"/>
      <c r="O205" s="618"/>
      <c r="P205" s="622"/>
      <c r="Q205" s="619"/>
      <c r="R205" s="624"/>
      <c r="S205" s="624"/>
      <c r="T205" s="622"/>
      <c r="U205" s="619"/>
      <c r="V205" s="624"/>
      <c r="W205" s="624"/>
      <c r="X205" s="624"/>
      <c r="Y205" s="622"/>
      <c r="Z205" s="619"/>
      <c r="AA205" s="624"/>
      <c r="AB205" s="624"/>
      <c r="AC205" s="624"/>
      <c r="AD205" s="622"/>
      <c r="AE205" s="636"/>
    </row>
    <row r="206" spans="1:31" x14ac:dyDescent="0.25">
      <c r="A206" s="606">
        <f t="shared" si="8"/>
        <v>198</v>
      </c>
      <c r="B206" s="617">
        <f t="shared" si="9"/>
        <v>37749.25</v>
      </c>
      <c r="C206" s="617" t="s">
        <v>106</v>
      </c>
      <c r="D206" s="617">
        <f t="shared" si="10"/>
        <v>39009.25</v>
      </c>
      <c r="E206" s="638"/>
      <c r="F206" s="618"/>
      <c r="G206" s="620"/>
      <c r="H206" s="622"/>
      <c r="I206" s="619">
        <f>I202+1</f>
        <v>50</v>
      </c>
      <c r="J206" s="617">
        <f>38248-1197+14*I206</f>
        <v>37751</v>
      </c>
      <c r="K206" s="620" t="s">
        <v>106</v>
      </c>
      <c r="L206" s="617">
        <f>38248+63+14*I206</f>
        <v>39011</v>
      </c>
      <c r="M206" s="619"/>
      <c r="N206" s="618"/>
      <c r="O206" s="618"/>
      <c r="P206" s="622"/>
      <c r="Q206" s="619"/>
      <c r="R206" s="624"/>
      <c r="S206" s="624"/>
      <c r="T206" s="622"/>
      <c r="U206" s="619"/>
      <c r="V206" s="624"/>
      <c r="W206" s="624"/>
      <c r="X206" s="624"/>
      <c r="Y206" s="622"/>
      <c r="Z206" s="619"/>
      <c r="AA206" s="624"/>
      <c r="AB206" s="624"/>
      <c r="AC206" s="624"/>
      <c r="AD206" s="622"/>
      <c r="AE206" s="636"/>
    </row>
    <row r="207" spans="1:31" x14ac:dyDescent="0.25">
      <c r="A207" s="606">
        <f t="shared" ref="A207:A270" si="11">A206+1</f>
        <v>199</v>
      </c>
      <c r="B207" s="617">
        <f t="shared" si="9"/>
        <v>37752.75</v>
      </c>
      <c r="C207" s="617" t="s">
        <v>106</v>
      </c>
      <c r="D207" s="617">
        <f t="shared" si="10"/>
        <v>39012.75</v>
      </c>
      <c r="E207" s="638">
        <f>E205+1</f>
        <v>100</v>
      </c>
      <c r="F207" s="617">
        <f>38248-1193.5+7*E207</f>
        <v>37754.5</v>
      </c>
      <c r="G207" s="620" t="s">
        <v>106</v>
      </c>
      <c r="H207" s="617">
        <f>38248+66.5+7*E207</f>
        <v>39014.5</v>
      </c>
      <c r="I207" s="619"/>
      <c r="J207" s="618"/>
      <c r="K207" s="620"/>
      <c r="L207" s="621"/>
      <c r="M207" s="619"/>
      <c r="N207" s="618"/>
      <c r="O207" s="618"/>
      <c r="P207" s="622"/>
      <c r="Q207" s="619"/>
      <c r="R207" s="624"/>
      <c r="S207" s="624"/>
      <c r="T207" s="622"/>
      <c r="U207" s="619"/>
      <c r="V207" s="624"/>
      <c r="W207" s="624"/>
      <c r="X207" s="624"/>
      <c r="Y207" s="622"/>
      <c r="Z207" s="619"/>
      <c r="AA207" s="624"/>
      <c r="AB207" s="624"/>
      <c r="AC207" s="624"/>
      <c r="AD207" s="622"/>
      <c r="AE207" s="718" t="s">
        <v>190</v>
      </c>
    </row>
    <row r="208" spans="1:31" x14ac:dyDescent="0.25">
      <c r="A208" s="606">
        <f t="shared" si="11"/>
        <v>200</v>
      </c>
      <c r="B208" s="617">
        <f t="shared" si="9"/>
        <v>37756.25</v>
      </c>
      <c r="C208" s="617" t="s">
        <v>106</v>
      </c>
      <c r="D208" s="617">
        <f t="shared" si="10"/>
        <v>39016.25</v>
      </c>
      <c r="E208" s="638"/>
      <c r="F208" s="618"/>
      <c r="G208" s="620"/>
      <c r="H208" s="622"/>
      <c r="I208" s="619"/>
      <c r="J208" s="618"/>
      <c r="K208" s="618"/>
      <c r="L208" s="622"/>
      <c r="M208" s="619"/>
      <c r="N208" s="618"/>
      <c r="O208" s="618"/>
      <c r="P208" s="622"/>
      <c r="Q208" s="619">
        <f>Q192+1</f>
        <v>13</v>
      </c>
      <c r="R208" s="617">
        <f>38248-1218+56*Q208</f>
        <v>37758</v>
      </c>
      <c r="S208" s="620" t="s">
        <v>106</v>
      </c>
      <c r="T208" s="617">
        <f>38248+42+56*Q208</f>
        <v>39018</v>
      </c>
      <c r="U208" s="619"/>
      <c r="V208" s="624"/>
      <c r="W208" s="624"/>
      <c r="X208" s="624"/>
      <c r="Y208" s="622"/>
      <c r="Z208" s="619"/>
      <c r="AA208" s="624"/>
      <c r="AB208" s="624"/>
      <c r="AC208" s="624"/>
      <c r="AD208" s="622"/>
      <c r="AE208" s="693"/>
    </row>
    <row r="209" spans="1:31" x14ac:dyDescent="0.25">
      <c r="A209" s="606">
        <f t="shared" si="11"/>
        <v>201</v>
      </c>
      <c r="B209" s="617">
        <f t="shared" si="9"/>
        <v>37759.75</v>
      </c>
      <c r="C209" s="617" t="s">
        <v>106</v>
      </c>
      <c r="D209" s="617">
        <f t="shared" si="10"/>
        <v>39019.75</v>
      </c>
      <c r="E209" s="638">
        <f>E207+1</f>
        <v>101</v>
      </c>
      <c r="F209" s="617">
        <f>38248-1193.5+7*E209</f>
        <v>37761.5</v>
      </c>
      <c r="G209" s="620" t="s">
        <v>106</v>
      </c>
      <c r="H209" s="617">
        <f>38248+66.5+7*E209</f>
        <v>39021.5</v>
      </c>
      <c r="I209" s="619"/>
      <c r="J209" s="618"/>
      <c r="K209" s="618"/>
      <c r="L209" s="622"/>
      <c r="M209" s="619"/>
      <c r="N209" s="618"/>
      <c r="O209" s="618"/>
      <c r="P209" s="622"/>
      <c r="Q209" s="619"/>
      <c r="R209" s="624"/>
      <c r="S209" s="624"/>
      <c r="T209" s="622"/>
      <c r="U209" s="619"/>
      <c r="V209" s="624"/>
      <c r="W209" s="624"/>
      <c r="X209" s="624"/>
      <c r="Y209" s="622"/>
      <c r="Z209" s="619"/>
      <c r="AA209" s="624"/>
      <c r="AB209" s="624"/>
      <c r="AC209" s="624"/>
      <c r="AD209" s="622"/>
      <c r="AE209" s="636"/>
    </row>
    <row r="210" spans="1:31" x14ac:dyDescent="0.25">
      <c r="A210" s="606">
        <f t="shared" si="11"/>
        <v>202</v>
      </c>
      <c r="B210" s="617">
        <f t="shared" si="9"/>
        <v>37763.25</v>
      </c>
      <c r="C210" s="617" t="s">
        <v>106</v>
      </c>
      <c r="D210" s="617">
        <f t="shared" si="10"/>
        <v>39023.25</v>
      </c>
      <c r="E210" s="638"/>
      <c r="F210" s="618"/>
      <c r="G210" s="620"/>
      <c r="H210" s="622"/>
      <c r="I210" s="619">
        <f>I206+1</f>
        <v>51</v>
      </c>
      <c r="J210" s="617">
        <f>38248-1197+14*I210</f>
        <v>37765</v>
      </c>
      <c r="K210" s="620" t="s">
        <v>106</v>
      </c>
      <c r="L210" s="617">
        <f>38248+63+14*I210</f>
        <v>39025</v>
      </c>
      <c r="M210" s="619"/>
      <c r="N210" s="618"/>
      <c r="O210" s="618"/>
      <c r="P210" s="622"/>
      <c r="Q210" s="619"/>
      <c r="R210" s="624"/>
      <c r="S210" s="624"/>
      <c r="T210" s="622"/>
      <c r="U210" s="619"/>
      <c r="V210" s="624"/>
      <c r="W210" s="624"/>
      <c r="X210" s="624"/>
      <c r="Y210" s="622"/>
      <c r="Z210" s="619"/>
      <c r="AA210" s="624"/>
      <c r="AB210" s="624"/>
      <c r="AC210" s="624"/>
      <c r="AD210" s="622"/>
      <c r="AE210" s="636"/>
    </row>
    <row r="211" spans="1:31" x14ac:dyDescent="0.25">
      <c r="A211" s="606">
        <f t="shared" si="11"/>
        <v>203</v>
      </c>
      <c r="B211" s="617">
        <f t="shared" si="9"/>
        <v>37766.75</v>
      </c>
      <c r="C211" s="617" t="s">
        <v>106</v>
      </c>
      <c r="D211" s="617">
        <f t="shared" si="10"/>
        <v>39026.75</v>
      </c>
      <c r="E211" s="638">
        <f>E209+1</f>
        <v>102</v>
      </c>
      <c r="F211" s="617">
        <f>38248-1193.5+7*E211</f>
        <v>37768.5</v>
      </c>
      <c r="G211" s="620" t="s">
        <v>106</v>
      </c>
      <c r="H211" s="617">
        <f>38248+66.5+7*E211</f>
        <v>39028.5</v>
      </c>
      <c r="I211" s="619"/>
      <c r="J211" s="618"/>
      <c r="K211" s="620"/>
      <c r="L211" s="621"/>
      <c r="M211" s="619"/>
      <c r="N211" s="618"/>
      <c r="O211" s="618"/>
      <c r="P211" s="622"/>
      <c r="Q211" s="619"/>
      <c r="R211" s="647"/>
      <c r="S211" s="624"/>
      <c r="T211" s="648"/>
      <c r="U211" s="619"/>
      <c r="V211" s="624"/>
      <c r="W211" s="624"/>
      <c r="X211" s="624"/>
      <c r="Y211" s="622"/>
      <c r="Z211" s="619"/>
      <c r="AA211" s="624"/>
      <c r="AB211" s="624"/>
      <c r="AC211" s="624"/>
      <c r="AD211" s="622"/>
      <c r="AE211" s="636"/>
    </row>
    <row r="212" spans="1:31" x14ac:dyDescent="0.25">
      <c r="A212" s="606">
        <f t="shared" si="11"/>
        <v>204</v>
      </c>
      <c r="B212" s="617">
        <f t="shared" si="9"/>
        <v>37770.25</v>
      </c>
      <c r="C212" s="617" t="s">
        <v>106</v>
      </c>
      <c r="D212" s="617">
        <f t="shared" si="10"/>
        <v>39030.25</v>
      </c>
      <c r="E212" s="638"/>
      <c r="F212" s="618"/>
      <c r="G212" s="620"/>
      <c r="H212" s="622"/>
      <c r="I212" s="619"/>
      <c r="J212" s="618"/>
      <c r="K212" s="618"/>
      <c r="L212" s="622"/>
      <c r="M212" s="619">
        <f>M204+1</f>
        <v>26</v>
      </c>
      <c r="N212" s="617">
        <f>38248-1204+28*M212</f>
        <v>37772</v>
      </c>
      <c r="O212" s="620" t="s">
        <v>106</v>
      </c>
      <c r="P212" s="617">
        <f>38248+56+28*M212</f>
        <v>39032</v>
      </c>
      <c r="Q212" s="619"/>
      <c r="R212" s="624"/>
      <c r="S212" s="624"/>
      <c r="T212" s="622"/>
      <c r="U212" s="619"/>
      <c r="V212" s="624"/>
      <c r="W212" s="624"/>
      <c r="X212" s="624"/>
      <c r="Y212" s="622"/>
      <c r="Z212" s="619"/>
      <c r="AA212" s="624"/>
      <c r="AB212" s="624"/>
      <c r="AC212" s="624"/>
      <c r="AD212" s="622"/>
      <c r="AE212" s="636"/>
    </row>
    <row r="213" spans="1:31" x14ac:dyDescent="0.25">
      <c r="A213" s="606">
        <f t="shared" si="11"/>
        <v>205</v>
      </c>
      <c r="B213" s="617">
        <f t="shared" si="9"/>
        <v>37773.75</v>
      </c>
      <c r="C213" s="617" t="s">
        <v>106</v>
      </c>
      <c r="D213" s="617">
        <f t="shared" si="10"/>
        <v>39033.75</v>
      </c>
      <c r="E213" s="638">
        <f>E211+1</f>
        <v>103</v>
      </c>
      <c r="F213" s="617">
        <f>38248-1193.5+7*E213</f>
        <v>37775.5</v>
      </c>
      <c r="G213" s="620" t="s">
        <v>106</v>
      </c>
      <c r="H213" s="617">
        <f>38248+66.5+7*E213</f>
        <v>39035.5</v>
      </c>
      <c r="I213" s="619"/>
      <c r="J213" s="618"/>
      <c r="K213" s="618"/>
      <c r="L213" s="622"/>
      <c r="M213" s="619"/>
      <c r="N213" s="618"/>
      <c r="O213" s="618"/>
      <c r="P213" s="622"/>
      <c r="Q213" s="619"/>
      <c r="R213" s="624"/>
      <c r="S213" s="624"/>
      <c r="T213" s="622"/>
      <c r="U213" s="619"/>
      <c r="V213" s="624"/>
      <c r="W213" s="624"/>
      <c r="X213" s="624"/>
      <c r="Y213" s="622"/>
      <c r="Z213" s="619"/>
      <c r="AA213" s="624"/>
      <c r="AB213" s="624"/>
      <c r="AC213" s="624"/>
      <c r="AD213" s="622"/>
      <c r="AE213" s="636"/>
    </row>
    <row r="214" spans="1:31" x14ac:dyDescent="0.25">
      <c r="A214" s="606">
        <f t="shared" si="11"/>
        <v>206</v>
      </c>
      <c r="B214" s="617">
        <f t="shared" si="9"/>
        <v>37777.25</v>
      </c>
      <c r="C214" s="617" t="s">
        <v>106</v>
      </c>
      <c r="D214" s="617">
        <f t="shared" si="10"/>
        <v>39037.25</v>
      </c>
      <c r="E214" s="638"/>
      <c r="F214" s="618"/>
      <c r="G214" s="620"/>
      <c r="H214" s="622"/>
      <c r="I214" s="619">
        <f>I210+1</f>
        <v>52</v>
      </c>
      <c r="J214" s="617">
        <f>38248-1197+14*I214</f>
        <v>37779</v>
      </c>
      <c r="K214" s="620" t="s">
        <v>106</v>
      </c>
      <c r="L214" s="617">
        <f>38248+63+14*I214</f>
        <v>39039</v>
      </c>
      <c r="M214" s="619"/>
      <c r="N214" s="618"/>
      <c r="O214" s="618"/>
      <c r="P214" s="622"/>
      <c r="Q214" s="619"/>
      <c r="R214" s="647"/>
      <c r="S214" s="647"/>
      <c r="T214" s="648"/>
      <c r="U214" s="619"/>
      <c r="V214" s="624"/>
      <c r="W214" s="624"/>
      <c r="X214" s="624"/>
      <c r="Y214" s="622"/>
      <c r="Z214" s="619"/>
      <c r="AA214" s="624"/>
      <c r="AB214" s="624"/>
      <c r="AC214" s="624"/>
      <c r="AD214" s="622"/>
      <c r="AE214" s="636"/>
    </row>
    <row r="215" spans="1:31" x14ac:dyDescent="0.25">
      <c r="A215" s="606">
        <f t="shared" si="11"/>
        <v>207</v>
      </c>
      <c r="B215" s="617">
        <f t="shared" si="9"/>
        <v>37780.75</v>
      </c>
      <c r="C215" s="617" t="s">
        <v>106</v>
      </c>
      <c r="D215" s="617">
        <f t="shared" si="10"/>
        <v>39040.75</v>
      </c>
      <c r="E215" s="638">
        <f>E213+1</f>
        <v>104</v>
      </c>
      <c r="F215" s="617">
        <f>38248-1193.5+7*E215</f>
        <v>37782.5</v>
      </c>
      <c r="G215" s="620" t="s">
        <v>106</v>
      </c>
      <c r="H215" s="617">
        <f>38248+66.5+7*E215</f>
        <v>39042.5</v>
      </c>
      <c r="I215" s="619"/>
      <c r="J215" s="618"/>
      <c r="K215" s="620"/>
      <c r="L215" s="621"/>
      <c r="M215" s="619"/>
      <c r="N215" s="618"/>
      <c r="O215" s="618"/>
      <c r="P215" s="622"/>
      <c r="Q215" s="619"/>
      <c r="R215" s="624"/>
      <c r="S215" s="624"/>
      <c r="T215" s="622"/>
      <c r="U215" s="619"/>
      <c r="V215" s="624"/>
      <c r="W215" s="624"/>
      <c r="X215" s="624"/>
      <c r="Y215" s="622"/>
      <c r="Z215" s="619"/>
      <c r="AA215" s="624"/>
      <c r="AB215" s="624"/>
      <c r="AC215" s="624"/>
      <c r="AD215" s="622"/>
      <c r="AE215" s="636"/>
    </row>
    <row r="216" spans="1:31" ht="15.75" thickBot="1" x14ac:dyDescent="0.3">
      <c r="A216" s="642">
        <f t="shared" si="11"/>
        <v>208</v>
      </c>
      <c r="B216" s="673">
        <f t="shared" si="9"/>
        <v>37784.25</v>
      </c>
      <c r="C216" s="673" t="s">
        <v>106</v>
      </c>
      <c r="D216" s="673">
        <f t="shared" si="10"/>
        <v>39044.25</v>
      </c>
      <c r="E216" s="639"/>
      <c r="F216" s="643"/>
      <c r="G216" s="644"/>
      <c r="H216" s="648"/>
      <c r="I216" s="645"/>
      <c r="J216" s="643"/>
      <c r="K216" s="643"/>
      <c r="L216" s="648"/>
      <c r="M216" s="645"/>
      <c r="N216" s="643"/>
      <c r="O216" s="643"/>
      <c r="P216" s="648"/>
      <c r="Q216" s="645"/>
      <c r="R216" s="647"/>
      <c r="S216" s="647"/>
      <c r="T216" s="648"/>
      <c r="U216" s="694">
        <v>7</v>
      </c>
      <c r="V216" s="617">
        <f>38248-1246+112*U216</f>
        <v>37786</v>
      </c>
      <c r="W216" s="695" t="s">
        <v>106</v>
      </c>
      <c r="X216" s="617">
        <f>38248+14+112*U216</f>
        <v>39046</v>
      </c>
      <c r="Y216" s="622"/>
      <c r="Z216" s="694"/>
      <c r="AA216" s="617"/>
      <c r="AB216" s="695"/>
      <c r="AC216" s="617"/>
      <c r="AD216" s="695"/>
      <c r="AE216" s="696"/>
    </row>
    <row r="217" spans="1:31" ht="15.75" thickTop="1" x14ac:dyDescent="0.25">
      <c r="A217" s="721">
        <f t="shared" si="11"/>
        <v>209</v>
      </c>
      <c r="B217" s="655">
        <f t="shared" si="9"/>
        <v>37787.75</v>
      </c>
      <c r="C217" s="655" t="s">
        <v>106</v>
      </c>
      <c r="D217" s="655">
        <f t="shared" si="10"/>
        <v>39047.75</v>
      </c>
      <c r="E217" s="723">
        <f>E215+1</f>
        <v>105</v>
      </c>
      <c r="F217" s="655">
        <f>38248-1193.5+7*E217</f>
        <v>37789.5</v>
      </c>
      <c r="G217" s="722" t="s">
        <v>106</v>
      </c>
      <c r="H217" s="655">
        <f>38248+66.5+7*E217</f>
        <v>39049.5</v>
      </c>
      <c r="I217" s="657"/>
      <c r="J217" s="655"/>
      <c r="K217" s="655"/>
      <c r="L217" s="656"/>
      <c r="M217" s="657"/>
      <c r="N217" s="655"/>
      <c r="O217" s="655"/>
      <c r="P217" s="656"/>
      <c r="Q217" s="657"/>
      <c r="R217" s="660"/>
      <c r="S217" s="660"/>
      <c r="T217" s="656"/>
      <c r="U217" s="657"/>
      <c r="V217" s="660"/>
      <c r="W217" s="660"/>
      <c r="X217" s="660"/>
      <c r="Y217" s="656"/>
      <c r="Z217" s="657"/>
      <c r="AA217" s="660"/>
      <c r="AB217" s="660"/>
      <c r="AC217" s="660"/>
      <c r="AD217" s="656"/>
      <c r="AE217" s="697"/>
    </row>
    <row r="218" spans="1:31" x14ac:dyDescent="0.25">
      <c r="A218" s="606">
        <f t="shared" si="11"/>
        <v>210</v>
      </c>
      <c r="B218" s="617">
        <f t="shared" si="9"/>
        <v>37791.25</v>
      </c>
      <c r="C218" s="617" t="s">
        <v>106</v>
      </c>
      <c r="D218" s="617">
        <f t="shared" si="10"/>
        <v>39051.25</v>
      </c>
      <c r="E218" s="638"/>
      <c r="F218" s="618"/>
      <c r="G218" s="620"/>
      <c r="H218" s="622"/>
      <c r="I218" s="619">
        <f>I214+1</f>
        <v>53</v>
      </c>
      <c r="J218" s="617">
        <f>38248-1197+14*I218</f>
        <v>37793</v>
      </c>
      <c r="K218" s="620" t="s">
        <v>106</v>
      </c>
      <c r="L218" s="617">
        <f>38248+63+14*I218</f>
        <v>39053</v>
      </c>
      <c r="M218" s="619"/>
      <c r="N218" s="618"/>
      <c r="O218" s="618"/>
      <c r="P218" s="622"/>
      <c r="Q218" s="619"/>
      <c r="R218" s="624"/>
      <c r="S218" s="624"/>
      <c r="T218" s="622"/>
      <c r="U218" s="619"/>
      <c r="V218" s="624"/>
      <c r="W218" s="624"/>
      <c r="X218" s="624"/>
      <c r="Y218" s="622"/>
      <c r="Z218" s="619"/>
      <c r="AA218" s="624"/>
      <c r="AB218" s="624"/>
      <c r="AC218" s="624"/>
      <c r="AD218" s="622"/>
      <c r="AE218" s="636"/>
    </row>
    <row r="219" spans="1:31" x14ac:dyDescent="0.25">
      <c r="A219" s="606">
        <f t="shared" si="11"/>
        <v>211</v>
      </c>
      <c r="B219" s="617">
        <f t="shared" si="9"/>
        <v>37794.75</v>
      </c>
      <c r="C219" s="617" t="s">
        <v>106</v>
      </c>
      <c r="D219" s="617">
        <f t="shared" si="10"/>
        <v>39054.75</v>
      </c>
      <c r="E219" s="638">
        <f>E217+1</f>
        <v>106</v>
      </c>
      <c r="F219" s="617">
        <f>38248-1193.5+7*E219</f>
        <v>37796.5</v>
      </c>
      <c r="G219" s="620" t="s">
        <v>106</v>
      </c>
      <c r="H219" s="617">
        <f>38248+66.5+7*E219</f>
        <v>39056.5</v>
      </c>
      <c r="I219" s="619"/>
      <c r="J219" s="618"/>
      <c r="K219" s="620"/>
      <c r="L219" s="621"/>
      <c r="M219" s="619"/>
      <c r="N219" s="618"/>
      <c r="O219" s="618"/>
      <c r="P219" s="622"/>
      <c r="Q219" s="619"/>
      <c r="R219" s="624"/>
      <c r="S219" s="624"/>
      <c r="T219" s="622"/>
      <c r="U219" s="619"/>
      <c r="V219" s="624"/>
      <c r="W219" s="624"/>
      <c r="X219" s="624"/>
      <c r="Y219" s="622"/>
      <c r="Z219" s="619"/>
      <c r="AA219" s="624"/>
      <c r="AB219" s="624"/>
      <c r="AC219" s="624"/>
      <c r="AD219" s="622"/>
      <c r="AE219" s="636"/>
    </row>
    <row r="220" spans="1:31" x14ac:dyDescent="0.25">
      <c r="A220" s="606">
        <f t="shared" si="11"/>
        <v>212</v>
      </c>
      <c r="B220" s="617">
        <f t="shared" si="9"/>
        <v>37798.25</v>
      </c>
      <c r="C220" s="617" t="s">
        <v>106</v>
      </c>
      <c r="D220" s="617">
        <f t="shared" si="10"/>
        <v>39058.25</v>
      </c>
      <c r="E220" s="638"/>
      <c r="F220" s="618"/>
      <c r="G220" s="620"/>
      <c r="H220" s="622"/>
      <c r="I220" s="619"/>
      <c r="J220" s="618"/>
      <c r="K220" s="618"/>
      <c r="L220" s="622"/>
      <c r="M220" s="619">
        <f>M212+1</f>
        <v>27</v>
      </c>
      <c r="N220" s="617">
        <f>38248-1204+28*M220</f>
        <v>37800</v>
      </c>
      <c r="O220" s="620" t="s">
        <v>106</v>
      </c>
      <c r="P220" s="617">
        <f>38248+56+28*M220</f>
        <v>39060</v>
      </c>
      <c r="Q220" s="619"/>
      <c r="R220" s="618"/>
      <c r="S220" s="620"/>
      <c r="T220" s="621"/>
      <c r="U220" s="619"/>
      <c r="V220" s="618"/>
      <c r="W220" s="620"/>
      <c r="X220" s="620"/>
      <c r="Y220" s="621"/>
      <c r="Z220" s="619"/>
      <c r="AA220" s="618"/>
      <c r="AB220" s="620"/>
      <c r="AC220" s="620"/>
      <c r="AD220" s="621"/>
      <c r="AE220" s="636"/>
    </row>
    <row r="221" spans="1:31" x14ac:dyDescent="0.25">
      <c r="A221" s="606">
        <f t="shared" si="11"/>
        <v>213</v>
      </c>
      <c r="B221" s="617">
        <f t="shared" si="9"/>
        <v>37801.75</v>
      </c>
      <c r="C221" s="617" t="s">
        <v>106</v>
      </c>
      <c r="D221" s="617">
        <f t="shared" si="10"/>
        <v>39061.75</v>
      </c>
      <c r="E221" s="638">
        <f>E219+1</f>
        <v>107</v>
      </c>
      <c r="F221" s="617">
        <f>38248-1193.5+7*E221</f>
        <v>37803.5</v>
      </c>
      <c r="G221" s="620" t="s">
        <v>106</v>
      </c>
      <c r="H221" s="617">
        <f>38248+66.5+7*E221</f>
        <v>39063.5</v>
      </c>
      <c r="I221" s="619"/>
      <c r="J221" s="618"/>
      <c r="K221" s="618"/>
      <c r="L221" s="622"/>
      <c r="M221" s="619"/>
      <c r="N221" s="618"/>
      <c r="O221" s="618"/>
      <c r="P221" s="622"/>
      <c r="Q221" s="619"/>
      <c r="R221" s="624"/>
      <c r="S221" s="624"/>
      <c r="T221" s="622"/>
      <c r="U221" s="619"/>
      <c r="V221" s="624"/>
      <c r="W221" s="624"/>
      <c r="X221" s="624"/>
      <c r="Y221" s="622"/>
      <c r="Z221" s="619"/>
      <c r="AA221" s="624"/>
      <c r="AB221" s="624"/>
      <c r="AC221" s="624"/>
      <c r="AD221" s="622"/>
      <c r="AE221" s="636"/>
    </row>
    <row r="222" spans="1:31" x14ac:dyDescent="0.25">
      <c r="A222" s="606">
        <f t="shared" si="11"/>
        <v>214</v>
      </c>
      <c r="B222" s="617">
        <f t="shared" si="9"/>
        <v>37805.25</v>
      </c>
      <c r="C222" s="617" t="s">
        <v>106</v>
      </c>
      <c r="D222" s="617">
        <f t="shared" si="10"/>
        <v>39065.25</v>
      </c>
      <c r="E222" s="638"/>
      <c r="F222" s="618"/>
      <c r="G222" s="620"/>
      <c r="H222" s="622"/>
      <c r="I222" s="619">
        <f>I218+1</f>
        <v>54</v>
      </c>
      <c r="J222" s="617">
        <f>38248-1197+14*I222</f>
        <v>37807</v>
      </c>
      <c r="K222" s="620" t="s">
        <v>106</v>
      </c>
      <c r="L222" s="617">
        <f>38248+63+14*I222</f>
        <v>39067</v>
      </c>
      <c r="M222" s="619"/>
      <c r="N222" s="618"/>
      <c r="O222" s="618"/>
      <c r="P222" s="622"/>
      <c r="Q222" s="619"/>
      <c r="R222" s="624"/>
      <c r="S222" s="624"/>
      <c r="T222" s="622"/>
      <c r="U222" s="619"/>
      <c r="V222" s="624"/>
      <c r="W222" s="624"/>
      <c r="X222" s="624"/>
      <c r="Y222" s="622"/>
      <c r="Z222" s="619"/>
      <c r="AA222" s="624"/>
      <c r="AB222" s="624"/>
      <c r="AC222" s="624"/>
      <c r="AD222" s="622"/>
      <c r="AE222" s="636"/>
    </row>
    <row r="223" spans="1:31" x14ac:dyDescent="0.25">
      <c r="A223" s="606">
        <f t="shared" si="11"/>
        <v>215</v>
      </c>
      <c r="B223" s="617">
        <f t="shared" si="9"/>
        <v>37808.75</v>
      </c>
      <c r="C223" s="617" t="s">
        <v>106</v>
      </c>
      <c r="D223" s="617">
        <f t="shared" si="10"/>
        <v>39068.75</v>
      </c>
      <c r="E223" s="638">
        <f>E221+1</f>
        <v>108</v>
      </c>
      <c r="F223" s="617">
        <f>38248-1193.5+7*E223</f>
        <v>37810.5</v>
      </c>
      <c r="G223" s="620" t="s">
        <v>106</v>
      </c>
      <c r="H223" s="617">
        <f>38248+66.5+7*E223</f>
        <v>39070.5</v>
      </c>
      <c r="I223" s="619"/>
      <c r="J223" s="618"/>
      <c r="K223" s="620"/>
      <c r="L223" s="621"/>
      <c r="M223" s="619"/>
      <c r="N223" s="618"/>
      <c r="O223" s="618"/>
      <c r="P223" s="622"/>
      <c r="Q223" s="619"/>
      <c r="R223" s="624"/>
      <c r="S223" s="624"/>
      <c r="T223" s="622"/>
      <c r="U223" s="619"/>
      <c r="V223" s="624"/>
      <c r="W223" s="624"/>
      <c r="X223" s="624"/>
      <c r="Y223" s="622"/>
      <c r="Z223" s="619"/>
      <c r="AA223" s="624"/>
      <c r="AB223" s="624"/>
      <c r="AC223" s="624"/>
      <c r="AD223" s="622"/>
      <c r="AE223" s="636"/>
    </row>
    <row r="224" spans="1:31" x14ac:dyDescent="0.25">
      <c r="A224" s="606">
        <f t="shared" si="11"/>
        <v>216</v>
      </c>
      <c r="B224" s="617">
        <f t="shared" si="9"/>
        <v>37812.25</v>
      </c>
      <c r="C224" s="617" t="s">
        <v>106</v>
      </c>
      <c r="D224" s="617">
        <f t="shared" si="10"/>
        <v>39072.25</v>
      </c>
      <c r="E224" s="638"/>
      <c r="F224" s="618"/>
      <c r="G224" s="620"/>
      <c r="H224" s="622"/>
      <c r="I224" s="619"/>
      <c r="J224" s="618"/>
      <c r="K224" s="618"/>
      <c r="L224" s="622"/>
      <c r="M224" s="619"/>
      <c r="N224" s="618"/>
      <c r="O224" s="618"/>
      <c r="P224" s="622"/>
      <c r="Q224" s="619">
        <f>Q208+1</f>
        <v>14</v>
      </c>
      <c r="R224" s="617">
        <f>38248-1218+56*Q224</f>
        <v>37814</v>
      </c>
      <c r="S224" s="620" t="s">
        <v>106</v>
      </c>
      <c r="T224" s="617">
        <f>38248+42+56*Q224</f>
        <v>39074</v>
      </c>
      <c r="U224" s="619"/>
      <c r="V224" s="624"/>
      <c r="W224" s="624"/>
      <c r="X224" s="624"/>
      <c r="Y224" s="622"/>
      <c r="Z224" s="619"/>
      <c r="AA224" s="624"/>
      <c r="AB224" s="624"/>
      <c r="AC224" s="624"/>
      <c r="AD224" s="622"/>
      <c r="AE224" s="718" t="s">
        <v>190</v>
      </c>
    </row>
    <row r="225" spans="1:31" x14ac:dyDescent="0.25">
      <c r="A225" s="606">
        <f t="shared" si="11"/>
        <v>217</v>
      </c>
      <c r="B225" s="617">
        <f t="shared" si="9"/>
        <v>37815.75</v>
      </c>
      <c r="C225" s="617" t="s">
        <v>106</v>
      </c>
      <c r="D225" s="617">
        <f t="shared" si="10"/>
        <v>39075.75</v>
      </c>
      <c r="E225" s="638">
        <f>E223+1</f>
        <v>109</v>
      </c>
      <c r="F225" s="617">
        <f>38248-1193.5+7*E225</f>
        <v>37817.5</v>
      </c>
      <c r="G225" s="620" t="s">
        <v>106</v>
      </c>
      <c r="H225" s="617">
        <f>38248+66.5+7*E225</f>
        <v>39077.5</v>
      </c>
      <c r="I225" s="619"/>
      <c r="J225" s="618"/>
      <c r="K225" s="618"/>
      <c r="L225" s="622"/>
      <c r="M225" s="619"/>
      <c r="N225" s="618"/>
      <c r="O225" s="618"/>
      <c r="P225" s="622"/>
      <c r="Q225" s="619"/>
      <c r="R225" s="624"/>
      <c r="S225" s="624"/>
      <c r="T225" s="622"/>
      <c r="U225" s="619"/>
      <c r="V225" s="624"/>
      <c r="W225" s="624"/>
      <c r="X225" s="624"/>
      <c r="Y225" s="622"/>
      <c r="Z225" s="619"/>
      <c r="AA225" s="624"/>
      <c r="AB225" s="624"/>
      <c r="AC225" s="624"/>
      <c r="AD225" s="622"/>
      <c r="AE225" s="693"/>
    </row>
    <row r="226" spans="1:31" x14ac:dyDescent="0.25">
      <c r="A226" s="606">
        <f t="shared" si="11"/>
        <v>218</v>
      </c>
      <c r="B226" s="617">
        <f t="shared" si="9"/>
        <v>37819.25</v>
      </c>
      <c r="C226" s="617" t="s">
        <v>106</v>
      </c>
      <c r="D226" s="617">
        <f t="shared" si="10"/>
        <v>39079.25</v>
      </c>
      <c r="E226" s="638"/>
      <c r="F226" s="618"/>
      <c r="G226" s="620"/>
      <c r="H226" s="622"/>
      <c r="I226" s="619">
        <f>I222+1</f>
        <v>55</v>
      </c>
      <c r="J226" s="617">
        <f>38248-1197+14*I226</f>
        <v>37821</v>
      </c>
      <c r="K226" s="620" t="s">
        <v>106</v>
      </c>
      <c r="L226" s="617">
        <f>38248+63+14*I226</f>
        <v>39081</v>
      </c>
      <c r="M226" s="619"/>
      <c r="N226" s="618"/>
      <c r="O226" s="618"/>
      <c r="P226" s="622"/>
      <c r="Q226" s="619"/>
      <c r="R226" s="624"/>
      <c r="S226" s="624"/>
      <c r="T226" s="622"/>
      <c r="U226" s="619"/>
      <c r="V226" s="624"/>
      <c r="W226" s="624"/>
      <c r="X226" s="624"/>
      <c r="Y226" s="622"/>
      <c r="Z226" s="619"/>
      <c r="AA226" s="624"/>
      <c r="AB226" s="624"/>
      <c r="AC226" s="624"/>
      <c r="AD226" s="622"/>
      <c r="AE226" s="636"/>
    </row>
    <row r="227" spans="1:31" x14ac:dyDescent="0.25">
      <c r="A227" s="606">
        <f t="shared" si="11"/>
        <v>219</v>
      </c>
      <c r="B227" s="617">
        <f t="shared" si="9"/>
        <v>37822.75</v>
      </c>
      <c r="C227" s="617" t="s">
        <v>106</v>
      </c>
      <c r="D227" s="617">
        <f t="shared" si="10"/>
        <v>39082.75</v>
      </c>
      <c r="E227" s="638">
        <f>E225+1</f>
        <v>110</v>
      </c>
      <c r="F227" s="617">
        <f>38248-1193.5+7*E227</f>
        <v>37824.5</v>
      </c>
      <c r="G227" s="620" t="s">
        <v>106</v>
      </c>
      <c r="H227" s="617">
        <f>38248+66.5+7*E227</f>
        <v>39084.5</v>
      </c>
      <c r="I227" s="619"/>
      <c r="J227" s="618"/>
      <c r="K227" s="620"/>
      <c r="L227" s="621"/>
      <c r="M227" s="619"/>
      <c r="N227" s="618"/>
      <c r="O227" s="618"/>
      <c r="P227" s="622"/>
      <c r="Q227" s="619"/>
      <c r="R227" s="647"/>
      <c r="S227" s="624"/>
      <c r="T227" s="648"/>
      <c r="U227" s="619"/>
      <c r="V227" s="624"/>
      <c r="W227" s="624"/>
      <c r="X227" s="624"/>
      <c r="Y227" s="622"/>
      <c r="Z227" s="619"/>
      <c r="AA227" s="624"/>
      <c r="AB227" s="624"/>
      <c r="AC227" s="624"/>
      <c r="AD227" s="622"/>
      <c r="AE227" s="636"/>
    </row>
    <row r="228" spans="1:31" x14ac:dyDescent="0.25">
      <c r="A228" s="606">
        <f t="shared" si="11"/>
        <v>220</v>
      </c>
      <c r="B228" s="617">
        <f t="shared" si="9"/>
        <v>37826.25</v>
      </c>
      <c r="C228" s="617" t="s">
        <v>106</v>
      </c>
      <c r="D228" s="617">
        <f t="shared" si="10"/>
        <v>39086.25</v>
      </c>
      <c r="E228" s="638"/>
      <c r="F228" s="618"/>
      <c r="G228" s="620"/>
      <c r="H228" s="622"/>
      <c r="I228" s="619"/>
      <c r="J228" s="618"/>
      <c r="K228" s="618"/>
      <c r="L228" s="622"/>
      <c r="M228" s="619">
        <f>M220+1</f>
        <v>28</v>
      </c>
      <c r="N228" s="617">
        <f>38248-1204+28*M228</f>
        <v>37828</v>
      </c>
      <c r="O228" s="620" t="s">
        <v>106</v>
      </c>
      <c r="P228" s="617">
        <f>38248+56+28*M228</f>
        <v>39088</v>
      </c>
      <c r="Q228" s="619"/>
      <c r="R228" s="624"/>
      <c r="S228" s="624"/>
      <c r="T228" s="622"/>
      <c r="U228" s="619"/>
      <c r="V228" s="617"/>
      <c r="W228" s="620"/>
      <c r="X228" s="620"/>
      <c r="Y228" s="617"/>
      <c r="Z228" s="619"/>
      <c r="AA228" s="617"/>
      <c r="AB228" s="620"/>
      <c r="AC228" s="620"/>
      <c r="AD228" s="617"/>
      <c r="AE228" s="636"/>
    </row>
    <row r="229" spans="1:31" x14ac:dyDescent="0.25">
      <c r="A229" s="606">
        <f t="shared" si="11"/>
        <v>221</v>
      </c>
      <c r="B229" s="617">
        <f t="shared" si="9"/>
        <v>37829.75</v>
      </c>
      <c r="C229" s="617" t="s">
        <v>106</v>
      </c>
      <c r="D229" s="617">
        <f t="shared" si="10"/>
        <v>39089.75</v>
      </c>
      <c r="E229" s="638">
        <f>E227+1</f>
        <v>111</v>
      </c>
      <c r="F229" s="617">
        <f>38248-1193.5+7*E229</f>
        <v>37831.5</v>
      </c>
      <c r="G229" s="620" t="s">
        <v>106</v>
      </c>
      <c r="H229" s="617">
        <f>38248+66.5+7*E229</f>
        <v>39091.5</v>
      </c>
      <c r="I229" s="619"/>
      <c r="J229" s="618"/>
      <c r="K229" s="618"/>
      <c r="L229" s="622"/>
      <c r="M229" s="619"/>
      <c r="N229" s="618"/>
      <c r="O229" s="618"/>
      <c r="P229" s="622"/>
      <c r="Q229" s="619"/>
      <c r="R229" s="624"/>
      <c r="S229" s="624"/>
      <c r="T229" s="622"/>
      <c r="U229" s="619"/>
      <c r="V229" s="624"/>
      <c r="W229" s="624"/>
      <c r="X229" s="624"/>
      <c r="Y229" s="622"/>
      <c r="Z229" s="619"/>
      <c r="AA229" s="624"/>
      <c r="AB229" s="624"/>
      <c r="AC229" s="624"/>
      <c r="AD229" s="622"/>
      <c r="AE229" s="636"/>
    </row>
    <row r="230" spans="1:31" x14ac:dyDescent="0.25">
      <c r="A230" s="606">
        <f t="shared" si="11"/>
        <v>222</v>
      </c>
      <c r="B230" s="617">
        <f t="shared" si="9"/>
        <v>37833.25</v>
      </c>
      <c r="C230" s="617" t="s">
        <v>106</v>
      </c>
      <c r="D230" s="617">
        <f t="shared" si="10"/>
        <v>39093.25</v>
      </c>
      <c r="E230" s="638"/>
      <c r="F230" s="618"/>
      <c r="G230" s="620"/>
      <c r="H230" s="622"/>
      <c r="I230" s="619">
        <f>I226+1</f>
        <v>56</v>
      </c>
      <c r="J230" s="617">
        <f>38248-1197+14*I230</f>
        <v>37835</v>
      </c>
      <c r="K230" s="620" t="s">
        <v>106</v>
      </c>
      <c r="L230" s="617">
        <f>38248+63+14*I230</f>
        <v>39095</v>
      </c>
      <c r="M230" s="619"/>
      <c r="N230" s="618"/>
      <c r="O230" s="618"/>
      <c r="P230" s="622"/>
      <c r="Q230" s="619"/>
      <c r="R230" s="647"/>
      <c r="S230" s="647"/>
      <c r="T230" s="648"/>
      <c r="U230" s="619"/>
      <c r="V230" s="624"/>
      <c r="W230" s="624"/>
      <c r="X230" s="624"/>
      <c r="Y230" s="622"/>
      <c r="Z230" s="619"/>
      <c r="AA230" s="624"/>
      <c r="AB230" s="624"/>
      <c r="AC230" s="624"/>
      <c r="AD230" s="622"/>
      <c r="AE230" s="636"/>
    </row>
    <row r="231" spans="1:31" x14ac:dyDescent="0.25">
      <c r="A231" s="606">
        <f t="shared" si="11"/>
        <v>223</v>
      </c>
      <c r="B231" s="617">
        <f t="shared" si="9"/>
        <v>37836.75</v>
      </c>
      <c r="C231" s="617" t="s">
        <v>106</v>
      </c>
      <c r="D231" s="617">
        <f t="shared" si="10"/>
        <v>39096.75</v>
      </c>
      <c r="E231" s="638">
        <f>E229+1</f>
        <v>112</v>
      </c>
      <c r="F231" s="617">
        <f>38248-1193.5+7*E231</f>
        <v>37838.5</v>
      </c>
      <c r="G231" s="620" t="s">
        <v>106</v>
      </c>
      <c r="H231" s="617">
        <f>38248+66.5+7*E231</f>
        <v>39098.5</v>
      </c>
      <c r="I231" s="619"/>
      <c r="J231" s="618"/>
      <c r="K231" s="620"/>
      <c r="L231" s="621"/>
      <c r="M231" s="619"/>
      <c r="N231" s="618"/>
      <c r="O231" s="618"/>
      <c r="P231" s="622"/>
      <c r="Q231" s="619"/>
      <c r="R231" s="624"/>
      <c r="S231" s="624"/>
      <c r="T231" s="622"/>
      <c r="U231" s="619"/>
      <c r="V231" s="624"/>
      <c r="W231" s="624"/>
      <c r="X231" s="624"/>
      <c r="Y231" s="622"/>
      <c r="Z231" s="619"/>
      <c r="AA231" s="624"/>
      <c r="AB231" s="624"/>
      <c r="AC231" s="624"/>
      <c r="AD231" s="622"/>
      <c r="AE231" s="636"/>
    </row>
    <row r="232" spans="1:31" ht="15.75" thickBot="1" x14ac:dyDescent="0.3">
      <c r="A232" s="642">
        <f t="shared" si="11"/>
        <v>224</v>
      </c>
      <c r="B232" s="673">
        <f t="shared" si="9"/>
        <v>37840.25</v>
      </c>
      <c r="C232" s="673" t="s">
        <v>106</v>
      </c>
      <c r="D232" s="673">
        <f t="shared" si="10"/>
        <v>39100.25</v>
      </c>
      <c r="E232" s="639"/>
      <c r="F232" s="643"/>
      <c r="G232" s="644"/>
      <c r="H232" s="648"/>
      <c r="I232" s="645"/>
      <c r="J232" s="643"/>
      <c r="K232" s="643"/>
      <c r="L232" s="648"/>
      <c r="M232" s="645"/>
      <c r="N232" s="643"/>
      <c r="O232" s="643"/>
      <c r="P232" s="648"/>
      <c r="Q232" s="645"/>
      <c r="R232" s="647"/>
      <c r="S232" s="647"/>
      <c r="T232" s="648"/>
      <c r="U232" s="645"/>
      <c r="V232" s="647"/>
      <c r="W232" s="647"/>
      <c r="X232" s="647"/>
      <c r="Y232" s="648"/>
      <c r="Z232" s="645">
        <v>7</v>
      </c>
      <c r="AA232" s="624">
        <f>38248-1190+112*Z232</f>
        <v>37842</v>
      </c>
      <c r="AB232" s="624"/>
      <c r="AC232" s="624">
        <f>38248+70+112*Z232</f>
        <v>39102</v>
      </c>
      <c r="AD232" s="648"/>
      <c r="AE232" s="651"/>
    </row>
    <row r="233" spans="1:31" ht="15.75" thickTop="1" x14ac:dyDescent="0.25">
      <c r="A233" s="721">
        <f t="shared" si="11"/>
        <v>225</v>
      </c>
      <c r="B233" s="655">
        <f t="shared" si="9"/>
        <v>37843.75</v>
      </c>
      <c r="C233" s="655" t="s">
        <v>106</v>
      </c>
      <c r="D233" s="655">
        <f t="shared" si="10"/>
        <v>39103.75</v>
      </c>
      <c r="E233" s="723">
        <f>E231+1</f>
        <v>113</v>
      </c>
      <c r="F233" s="655">
        <f>38248-1193.5+7*E233</f>
        <v>37845.5</v>
      </c>
      <c r="G233" s="722" t="s">
        <v>106</v>
      </c>
      <c r="H233" s="655">
        <f>38248+66.5+7*E233</f>
        <v>39105.5</v>
      </c>
      <c r="I233" s="657"/>
      <c r="J233" s="655"/>
      <c r="K233" s="655"/>
      <c r="L233" s="656"/>
      <c r="M233" s="657"/>
      <c r="N233" s="655"/>
      <c r="O233" s="655"/>
      <c r="P233" s="656"/>
      <c r="Q233" s="657"/>
      <c r="R233" s="660"/>
      <c r="S233" s="660"/>
      <c r="T233" s="656"/>
      <c r="U233" s="657"/>
      <c r="V233" s="655"/>
      <c r="W233" s="660"/>
      <c r="X233" s="660"/>
      <c r="Y233" s="656"/>
      <c r="Z233" s="657"/>
      <c r="AA233" s="660"/>
      <c r="AB233" s="660"/>
      <c r="AC233" s="660"/>
      <c r="AD233" s="656"/>
      <c r="AE233" s="662"/>
    </row>
    <row r="234" spans="1:31" x14ac:dyDescent="0.25">
      <c r="A234" s="606">
        <f t="shared" si="11"/>
        <v>226</v>
      </c>
      <c r="B234" s="617">
        <f t="shared" si="9"/>
        <v>37847.25</v>
      </c>
      <c r="C234" s="617" t="s">
        <v>106</v>
      </c>
      <c r="D234" s="617">
        <f t="shared" si="10"/>
        <v>39107.25</v>
      </c>
      <c r="E234" s="638"/>
      <c r="F234" s="618"/>
      <c r="G234" s="620"/>
      <c r="H234" s="622"/>
      <c r="I234" s="619">
        <f>I230+1</f>
        <v>57</v>
      </c>
      <c r="J234" s="617">
        <f>38248-1197+14*I234</f>
        <v>37849</v>
      </c>
      <c r="K234" s="620" t="s">
        <v>106</v>
      </c>
      <c r="L234" s="617">
        <f>38248+63+14*I234</f>
        <v>39109</v>
      </c>
      <c r="M234" s="619"/>
      <c r="N234" s="618"/>
      <c r="O234" s="618"/>
      <c r="P234" s="622"/>
      <c r="Q234" s="619"/>
      <c r="R234" s="624"/>
      <c r="S234" s="624"/>
      <c r="T234" s="622"/>
      <c r="U234" s="619"/>
      <c r="V234" s="624"/>
      <c r="W234" s="624"/>
      <c r="X234" s="624"/>
      <c r="Y234" s="622"/>
      <c r="Z234" s="619"/>
      <c r="AA234" s="624"/>
      <c r="AB234" s="624"/>
      <c r="AC234" s="624"/>
      <c r="AD234" s="622"/>
      <c r="AE234" s="636"/>
    </row>
    <row r="235" spans="1:31" x14ac:dyDescent="0.25">
      <c r="A235" s="606">
        <f t="shared" si="11"/>
        <v>227</v>
      </c>
      <c r="B235" s="617">
        <f t="shared" si="9"/>
        <v>37850.75</v>
      </c>
      <c r="C235" s="617" t="s">
        <v>106</v>
      </c>
      <c r="D235" s="617">
        <f t="shared" si="10"/>
        <v>39110.75</v>
      </c>
      <c r="E235" s="638">
        <f>E233+1</f>
        <v>114</v>
      </c>
      <c r="F235" s="617">
        <f>38248-1193.5+7*E235</f>
        <v>37852.5</v>
      </c>
      <c r="G235" s="620" t="s">
        <v>106</v>
      </c>
      <c r="H235" s="617">
        <f>38248+66.5+7*E235</f>
        <v>39112.5</v>
      </c>
      <c r="I235" s="619"/>
      <c r="J235" s="618"/>
      <c r="K235" s="620"/>
      <c r="L235" s="621"/>
      <c r="M235" s="619"/>
      <c r="N235" s="618"/>
      <c r="O235" s="618"/>
      <c r="P235" s="622"/>
      <c r="Q235" s="619"/>
      <c r="R235" s="624"/>
      <c r="S235" s="624"/>
      <c r="T235" s="622"/>
      <c r="U235" s="619"/>
      <c r="V235" s="624"/>
      <c r="W235" s="624"/>
      <c r="X235" s="624"/>
      <c r="Y235" s="622"/>
      <c r="Z235" s="619"/>
      <c r="AA235" s="624"/>
      <c r="AB235" s="624"/>
      <c r="AC235" s="624"/>
      <c r="AD235" s="622"/>
      <c r="AE235" s="636"/>
    </row>
    <row r="236" spans="1:31" x14ac:dyDescent="0.25">
      <c r="A236" s="606">
        <f t="shared" si="11"/>
        <v>228</v>
      </c>
      <c r="B236" s="617">
        <f t="shared" si="9"/>
        <v>37854.25</v>
      </c>
      <c r="C236" s="617" t="s">
        <v>106</v>
      </c>
      <c r="D236" s="617">
        <f t="shared" si="10"/>
        <v>39114.25</v>
      </c>
      <c r="E236" s="638"/>
      <c r="F236" s="618"/>
      <c r="G236" s="620"/>
      <c r="H236" s="622"/>
      <c r="I236" s="619"/>
      <c r="J236" s="618"/>
      <c r="K236" s="618"/>
      <c r="L236" s="622"/>
      <c r="M236" s="619">
        <f>M228+1</f>
        <v>29</v>
      </c>
      <c r="N236" s="617">
        <f>38248-1204+28*M236</f>
        <v>37856</v>
      </c>
      <c r="O236" s="620" t="s">
        <v>106</v>
      </c>
      <c r="P236" s="617">
        <f>38248+56+28*M236</f>
        <v>39116</v>
      </c>
      <c r="Q236" s="619"/>
      <c r="R236" s="618"/>
      <c r="S236" s="620"/>
      <c r="T236" s="621"/>
      <c r="U236" s="619"/>
      <c r="V236" s="624"/>
      <c r="W236" s="624"/>
      <c r="X236" s="624"/>
      <c r="Y236" s="622"/>
      <c r="Z236" s="619"/>
      <c r="AA236" s="624"/>
      <c r="AB236" s="624"/>
      <c r="AC236" s="624"/>
      <c r="AD236" s="622"/>
      <c r="AE236" s="636"/>
    </row>
    <row r="237" spans="1:31" x14ac:dyDescent="0.25">
      <c r="A237" s="606">
        <f t="shared" si="11"/>
        <v>229</v>
      </c>
      <c r="B237" s="617">
        <f t="shared" si="9"/>
        <v>37857.75</v>
      </c>
      <c r="C237" s="617" t="s">
        <v>106</v>
      </c>
      <c r="D237" s="617">
        <f t="shared" si="10"/>
        <v>39117.75</v>
      </c>
      <c r="E237" s="638">
        <f>E235+1</f>
        <v>115</v>
      </c>
      <c r="F237" s="617">
        <f>38248-1193.5+7*E237</f>
        <v>37859.5</v>
      </c>
      <c r="G237" s="620" t="s">
        <v>106</v>
      </c>
      <c r="H237" s="617">
        <f>38248+66.5+7*E237</f>
        <v>39119.5</v>
      </c>
      <c r="I237" s="619"/>
      <c r="J237" s="618"/>
      <c r="K237" s="618"/>
      <c r="L237" s="622"/>
      <c r="M237" s="619"/>
      <c r="N237" s="618"/>
      <c r="O237" s="618"/>
      <c r="P237" s="622"/>
      <c r="Q237" s="619"/>
      <c r="R237" s="624"/>
      <c r="S237" s="624"/>
      <c r="T237" s="622"/>
      <c r="U237" s="619"/>
      <c r="V237" s="624"/>
      <c r="W237" s="624"/>
      <c r="X237" s="624"/>
      <c r="Y237" s="622"/>
      <c r="Z237" s="619"/>
      <c r="AA237" s="624"/>
      <c r="AB237" s="624"/>
      <c r="AC237" s="624"/>
      <c r="AD237" s="622"/>
      <c r="AE237" s="636"/>
    </row>
    <row r="238" spans="1:31" x14ac:dyDescent="0.25">
      <c r="A238" s="606">
        <f t="shared" si="11"/>
        <v>230</v>
      </c>
      <c r="B238" s="617">
        <f t="shared" si="9"/>
        <v>37861.25</v>
      </c>
      <c r="C238" s="617" t="s">
        <v>106</v>
      </c>
      <c r="D238" s="617">
        <f t="shared" si="10"/>
        <v>39121.25</v>
      </c>
      <c r="E238" s="638"/>
      <c r="F238" s="618"/>
      <c r="G238" s="620"/>
      <c r="H238" s="622"/>
      <c r="I238" s="619">
        <f>I234+1</f>
        <v>58</v>
      </c>
      <c r="J238" s="617">
        <f>38248-1197+14*I238</f>
        <v>37863</v>
      </c>
      <c r="K238" s="620" t="s">
        <v>106</v>
      </c>
      <c r="L238" s="617">
        <f>38248+63+14*I238</f>
        <v>39123</v>
      </c>
      <c r="M238" s="619"/>
      <c r="N238" s="618"/>
      <c r="O238" s="618"/>
      <c r="P238" s="622"/>
      <c r="Q238" s="619"/>
      <c r="R238" s="624"/>
      <c r="S238" s="624"/>
      <c r="T238" s="622"/>
      <c r="U238" s="619"/>
      <c r="V238" s="624"/>
      <c r="W238" s="624"/>
      <c r="X238" s="624"/>
      <c r="Y238" s="622"/>
      <c r="Z238" s="619"/>
      <c r="AA238" s="624"/>
      <c r="AB238" s="624"/>
      <c r="AC238" s="624"/>
      <c r="AD238" s="622"/>
      <c r="AE238" s="636"/>
    </row>
    <row r="239" spans="1:31" x14ac:dyDescent="0.25">
      <c r="A239" s="606">
        <f t="shared" si="11"/>
        <v>231</v>
      </c>
      <c r="B239" s="617">
        <f t="shared" si="9"/>
        <v>37864.75</v>
      </c>
      <c r="C239" s="617" t="s">
        <v>106</v>
      </c>
      <c r="D239" s="617">
        <f t="shared" si="10"/>
        <v>39124.75</v>
      </c>
      <c r="E239" s="638">
        <f>E237+1</f>
        <v>116</v>
      </c>
      <c r="F239" s="617">
        <f>38248-1193.5+7*E239</f>
        <v>37866.5</v>
      </c>
      <c r="G239" s="620" t="s">
        <v>106</v>
      </c>
      <c r="H239" s="617">
        <f>38248+66.5+7*E239</f>
        <v>39126.5</v>
      </c>
      <c r="I239" s="619"/>
      <c r="J239" s="618"/>
      <c r="K239" s="620"/>
      <c r="L239" s="621"/>
      <c r="M239" s="619"/>
      <c r="N239" s="618"/>
      <c r="O239" s="618"/>
      <c r="P239" s="622"/>
      <c r="Q239" s="619"/>
      <c r="R239" s="624"/>
      <c r="S239" s="624"/>
      <c r="T239" s="622"/>
      <c r="U239" s="619"/>
      <c r="V239" s="624"/>
      <c r="W239" s="624"/>
      <c r="X239" s="624"/>
      <c r="Y239" s="622"/>
      <c r="Z239" s="619"/>
      <c r="AA239" s="624"/>
      <c r="AB239" s="624"/>
      <c r="AC239" s="624"/>
      <c r="AD239" s="622"/>
      <c r="AE239" s="636"/>
    </row>
    <row r="240" spans="1:31" x14ac:dyDescent="0.25">
      <c r="A240" s="606">
        <f t="shared" si="11"/>
        <v>232</v>
      </c>
      <c r="B240" s="617">
        <f t="shared" si="9"/>
        <v>37868.25</v>
      </c>
      <c r="C240" s="617" t="s">
        <v>106</v>
      </c>
      <c r="D240" s="617">
        <f t="shared" si="10"/>
        <v>39128.25</v>
      </c>
      <c r="E240" s="638"/>
      <c r="F240" s="618"/>
      <c r="G240" s="620"/>
      <c r="H240" s="622"/>
      <c r="I240" s="619"/>
      <c r="J240" s="618"/>
      <c r="K240" s="618"/>
      <c r="L240" s="622"/>
      <c r="M240" s="619"/>
      <c r="N240" s="618"/>
      <c r="O240" s="618"/>
      <c r="P240" s="622"/>
      <c r="Q240" s="619">
        <f>Q224+1</f>
        <v>15</v>
      </c>
      <c r="R240" s="617">
        <f>38248-1218+56*Q240</f>
        <v>37870</v>
      </c>
      <c r="S240" s="620" t="s">
        <v>106</v>
      </c>
      <c r="T240" s="617">
        <f>38248+42+56*Q240</f>
        <v>39130</v>
      </c>
      <c r="U240" s="619"/>
      <c r="V240" s="624"/>
      <c r="W240" s="624"/>
      <c r="X240" s="624"/>
      <c r="Y240" s="622"/>
      <c r="Z240" s="619"/>
      <c r="AA240" s="624"/>
      <c r="AB240" s="624"/>
      <c r="AC240" s="624"/>
      <c r="AD240" s="622"/>
      <c r="AE240" s="791" t="s">
        <v>190</v>
      </c>
    </row>
    <row r="241" spans="1:31" x14ac:dyDescent="0.25">
      <c r="A241" s="606">
        <f t="shared" si="11"/>
        <v>233</v>
      </c>
      <c r="B241" s="617">
        <f t="shared" si="9"/>
        <v>37871.75</v>
      </c>
      <c r="C241" s="617" t="s">
        <v>106</v>
      </c>
      <c r="D241" s="617">
        <f t="shared" si="10"/>
        <v>39131.75</v>
      </c>
      <c r="E241" s="638">
        <f>E239+1</f>
        <v>117</v>
      </c>
      <c r="F241" s="617">
        <f>38248-1193.5+7*E241</f>
        <v>37873.5</v>
      </c>
      <c r="G241" s="620" t="s">
        <v>106</v>
      </c>
      <c r="H241" s="617">
        <f>38248+66.5+7*E241</f>
        <v>39133.5</v>
      </c>
      <c r="I241" s="619"/>
      <c r="J241" s="618"/>
      <c r="K241" s="618"/>
      <c r="L241" s="622"/>
      <c r="M241" s="619"/>
      <c r="N241" s="618"/>
      <c r="O241" s="618"/>
      <c r="P241" s="622"/>
      <c r="Q241" s="619"/>
      <c r="R241" s="624"/>
      <c r="S241" s="624"/>
      <c r="T241" s="622"/>
      <c r="U241" s="619"/>
      <c r="V241" s="624"/>
      <c r="W241" s="624"/>
      <c r="X241" s="624"/>
      <c r="Y241" s="622"/>
      <c r="Z241" s="619"/>
      <c r="AA241" s="624"/>
      <c r="AB241" s="624"/>
      <c r="AC241" s="624"/>
      <c r="AD241" s="622"/>
      <c r="AE241" s="679"/>
    </row>
    <row r="242" spans="1:31" x14ac:dyDescent="0.25">
      <c r="A242" s="606">
        <f t="shared" si="11"/>
        <v>234</v>
      </c>
      <c r="B242" s="617">
        <f t="shared" si="9"/>
        <v>37875.25</v>
      </c>
      <c r="C242" s="617" t="s">
        <v>106</v>
      </c>
      <c r="D242" s="617">
        <f t="shared" si="10"/>
        <v>39135.25</v>
      </c>
      <c r="E242" s="638"/>
      <c r="F242" s="618"/>
      <c r="G242" s="620"/>
      <c r="H242" s="622"/>
      <c r="I242" s="619">
        <f>I238+1</f>
        <v>59</v>
      </c>
      <c r="J242" s="617">
        <f>38248-1197+14*I242</f>
        <v>37877</v>
      </c>
      <c r="K242" s="620" t="s">
        <v>106</v>
      </c>
      <c r="L242" s="617">
        <f>38248+63+14*I242</f>
        <v>39137</v>
      </c>
      <c r="M242" s="619"/>
      <c r="N242" s="618"/>
      <c r="O242" s="618"/>
      <c r="P242" s="622"/>
      <c r="Q242" s="619"/>
      <c r="R242" s="624"/>
      <c r="S242" s="624"/>
      <c r="T242" s="622"/>
      <c r="U242" s="619"/>
      <c r="V242" s="624"/>
      <c r="W242" s="624"/>
      <c r="X242" s="624"/>
      <c r="Y242" s="622"/>
      <c r="Z242" s="619"/>
      <c r="AA242" s="624"/>
      <c r="AB242" s="624"/>
      <c r="AC242" s="624"/>
      <c r="AD242" s="622"/>
      <c r="AE242" s="636"/>
    </row>
    <row r="243" spans="1:31" x14ac:dyDescent="0.25">
      <c r="A243" s="606">
        <f t="shared" si="11"/>
        <v>235</v>
      </c>
      <c r="B243" s="617">
        <f t="shared" si="9"/>
        <v>37878.75</v>
      </c>
      <c r="C243" s="617" t="s">
        <v>106</v>
      </c>
      <c r="D243" s="617">
        <f t="shared" si="10"/>
        <v>39138.75</v>
      </c>
      <c r="E243" s="638">
        <f>E241+1</f>
        <v>118</v>
      </c>
      <c r="F243" s="617">
        <f>38248-1193.5+7*E243</f>
        <v>37880.5</v>
      </c>
      <c r="G243" s="620" t="s">
        <v>106</v>
      </c>
      <c r="H243" s="617">
        <f>38248+66.5+7*E243</f>
        <v>39140.5</v>
      </c>
      <c r="I243" s="619"/>
      <c r="J243" s="618"/>
      <c r="K243" s="620"/>
      <c r="L243" s="621"/>
      <c r="M243" s="619"/>
      <c r="N243" s="618"/>
      <c r="O243" s="618"/>
      <c r="P243" s="622"/>
      <c r="Q243" s="619"/>
      <c r="R243" s="647"/>
      <c r="S243" s="624"/>
      <c r="T243" s="648"/>
      <c r="U243" s="619"/>
      <c r="V243" s="624"/>
      <c r="W243" s="624"/>
      <c r="X243" s="624"/>
      <c r="Y243" s="622"/>
      <c r="Z243" s="619"/>
      <c r="AA243" s="624"/>
      <c r="AB243" s="624"/>
      <c r="AC243" s="624"/>
      <c r="AD243" s="622"/>
      <c r="AE243" s="636"/>
    </row>
    <row r="244" spans="1:31" x14ac:dyDescent="0.25">
      <c r="A244" s="606">
        <f t="shared" si="11"/>
        <v>236</v>
      </c>
      <c r="B244" s="617">
        <f t="shared" si="9"/>
        <v>37882.25</v>
      </c>
      <c r="C244" s="617" t="s">
        <v>106</v>
      </c>
      <c r="D244" s="617">
        <f t="shared" si="10"/>
        <v>39142.25</v>
      </c>
      <c r="E244" s="638"/>
      <c r="F244" s="618"/>
      <c r="G244" s="620"/>
      <c r="H244" s="622"/>
      <c r="I244" s="619"/>
      <c r="J244" s="618"/>
      <c r="K244" s="618"/>
      <c r="L244" s="622"/>
      <c r="M244" s="619">
        <f>M236+1</f>
        <v>30</v>
      </c>
      <c r="N244" s="617">
        <f>38248-1204+28*M244</f>
        <v>37884</v>
      </c>
      <c r="O244" s="620" t="s">
        <v>106</v>
      </c>
      <c r="P244" s="617">
        <f>38248+56+28*M244</f>
        <v>39144</v>
      </c>
      <c r="Q244" s="619"/>
      <c r="R244" s="624"/>
      <c r="S244" s="624"/>
      <c r="T244" s="622"/>
      <c r="U244" s="619"/>
      <c r="V244" s="624"/>
      <c r="W244" s="624"/>
      <c r="X244" s="624"/>
      <c r="Y244" s="622"/>
      <c r="Z244" s="619"/>
      <c r="AA244" s="624"/>
      <c r="AB244" s="624"/>
      <c r="AC244" s="624"/>
      <c r="AD244" s="622"/>
      <c r="AE244" s="636"/>
    </row>
    <row r="245" spans="1:31" x14ac:dyDescent="0.25">
      <c r="A245" s="606">
        <f t="shared" si="11"/>
        <v>237</v>
      </c>
      <c r="B245" s="617">
        <f t="shared" si="9"/>
        <v>37885.75</v>
      </c>
      <c r="C245" s="617" t="s">
        <v>106</v>
      </c>
      <c r="D245" s="617">
        <f t="shared" si="10"/>
        <v>39145.75</v>
      </c>
      <c r="E245" s="638">
        <f>E243+1</f>
        <v>119</v>
      </c>
      <c r="F245" s="617">
        <f>38248-1193.5+7*E245</f>
        <v>37887.5</v>
      </c>
      <c r="G245" s="620" t="s">
        <v>106</v>
      </c>
      <c r="H245" s="617">
        <f>38248+66.5+7*E245</f>
        <v>39147.5</v>
      </c>
      <c r="I245" s="619"/>
      <c r="J245" s="618"/>
      <c r="K245" s="618"/>
      <c r="L245" s="622"/>
      <c r="M245" s="619"/>
      <c r="N245" s="618"/>
      <c r="O245" s="618"/>
      <c r="P245" s="622"/>
      <c r="Q245" s="619"/>
      <c r="R245" s="624"/>
      <c r="S245" s="624"/>
      <c r="T245" s="622"/>
      <c r="U245" s="619"/>
      <c r="V245" s="624"/>
      <c r="W245" s="624"/>
      <c r="X245" s="624"/>
      <c r="Y245" s="622"/>
      <c r="Z245" s="619"/>
      <c r="AA245" s="624"/>
      <c r="AB245" s="624"/>
      <c r="AC245" s="624"/>
      <c r="AD245" s="622"/>
      <c r="AE245" s="636"/>
    </row>
    <row r="246" spans="1:31" x14ac:dyDescent="0.25">
      <c r="A246" s="606">
        <f t="shared" si="11"/>
        <v>238</v>
      </c>
      <c r="B246" s="617">
        <f t="shared" si="9"/>
        <v>37889.25</v>
      </c>
      <c r="C246" s="617" t="s">
        <v>106</v>
      </c>
      <c r="D246" s="617">
        <f t="shared" si="10"/>
        <v>39149.25</v>
      </c>
      <c r="E246" s="638"/>
      <c r="F246" s="618"/>
      <c r="G246" s="620"/>
      <c r="H246" s="622"/>
      <c r="I246" s="619">
        <f>I242+1</f>
        <v>60</v>
      </c>
      <c r="J246" s="617">
        <f>38248-1197+14*I246</f>
        <v>37891</v>
      </c>
      <c r="K246" s="620" t="s">
        <v>106</v>
      </c>
      <c r="L246" s="617">
        <f>38248+63+14*I246</f>
        <v>39151</v>
      </c>
      <c r="M246" s="619"/>
      <c r="N246" s="618"/>
      <c r="O246" s="618"/>
      <c r="P246" s="622"/>
      <c r="Q246" s="619"/>
      <c r="R246" s="647"/>
      <c r="S246" s="647"/>
      <c r="T246" s="648"/>
      <c r="U246" s="619"/>
      <c r="V246" s="624"/>
      <c r="W246" s="624"/>
      <c r="X246" s="624"/>
      <c r="Y246" s="622"/>
      <c r="Z246" s="619"/>
      <c r="AA246" s="624"/>
      <c r="AB246" s="624"/>
      <c r="AC246" s="624"/>
      <c r="AD246" s="622"/>
      <c r="AE246" s="636"/>
    </row>
    <row r="247" spans="1:31" x14ac:dyDescent="0.25">
      <c r="A247" s="606">
        <f t="shared" si="11"/>
        <v>239</v>
      </c>
      <c r="B247" s="617">
        <f t="shared" si="9"/>
        <v>37892.75</v>
      </c>
      <c r="C247" s="617" t="s">
        <v>106</v>
      </c>
      <c r="D247" s="617">
        <f t="shared" si="10"/>
        <v>39152.75</v>
      </c>
      <c r="E247" s="638">
        <f>E245+1</f>
        <v>120</v>
      </c>
      <c r="F247" s="617">
        <f>38248-1193.5+7*E247</f>
        <v>37894.5</v>
      </c>
      <c r="G247" s="620" t="s">
        <v>106</v>
      </c>
      <c r="H247" s="617">
        <f>38248+66.5+7*E247</f>
        <v>39154.5</v>
      </c>
      <c r="I247" s="619"/>
      <c r="J247" s="618"/>
      <c r="K247" s="620"/>
      <c r="L247" s="621"/>
      <c r="M247" s="619"/>
      <c r="N247" s="618"/>
      <c r="O247" s="618"/>
      <c r="P247" s="622"/>
      <c r="Q247" s="619"/>
      <c r="R247" s="624"/>
      <c r="S247" s="624"/>
      <c r="T247" s="622"/>
      <c r="U247" s="619"/>
      <c r="V247" s="624"/>
      <c r="W247" s="624"/>
      <c r="X247" s="624"/>
      <c r="Y247" s="622"/>
      <c r="Z247" s="619"/>
      <c r="AA247" s="624"/>
      <c r="AB247" s="624"/>
      <c r="AC247" s="624"/>
      <c r="AD247" s="622"/>
      <c r="AE247" s="636"/>
    </row>
    <row r="248" spans="1:31" ht="15.75" thickBot="1" x14ac:dyDescent="0.3">
      <c r="A248" s="642">
        <f t="shared" si="11"/>
        <v>240</v>
      </c>
      <c r="B248" s="673">
        <f t="shared" si="9"/>
        <v>37896.25</v>
      </c>
      <c r="C248" s="673" t="s">
        <v>106</v>
      </c>
      <c r="D248" s="673">
        <f t="shared" si="10"/>
        <v>39156.25</v>
      </c>
      <c r="E248" s="639"/>
      <c r="F248" s="643"/>
      <c r="G248" s="644"/>
      <c r="H248" s="648"/>
      <c r="I248" s="645"/>
      <c r="J248" s="643"/>
      <c r="K248" s="643"/>
      <c r="L248" s="648"/>
      <c r="M248" s="645"/>
      <c r="N248" s="643"/>
      <c r="O248" s="643"/>
      <c r="P248" s="648"/>
      <c r="Q248" s="645"/>
      <c r="R248" s="647"/>
      <c r="S248" s="647"/>
      <c r="T248" s="648"/>
      <c r="U248" s="670">
        <v>8</v>
      </c>
      <c r="V248" s="617">
        <f>38248-1246+112*U248</f>
        <v>37898</v>
      </c>
      <c r="W248" s="671" t="s">
        <v>106</v>
      </c>
      <c r="X248" s="617">
        <f>38248+14+112*U248</f>
        <v>39158</v>
      </c>
      <c r="Y248" s="648"/>
      <c r="Z248" s="670"/>
      <c r="AA248" s="617"/>
      <c r="AB248" s="671"/>
      <c r="AC248" s="617"/>
      <c r="AD248" s="671"/>
      <c r="AE248" s="651"/>
    </row>
    <row r="249" spans="1:31" ht="15.75" thickTop="1" x14ac:dyDescent="0.25">
      <c r="A249" s="721">
        <f t="shared" si="11"/>
        <v>241</v>
      </c>
      <c r="B249" s="655">
        <f t="shared" si="9"/>
        <v>37899.75</v>
      </c>
      <c r="C249" s="655" t="s">
        <v>106</v>
      </c>
      <c r="D249" s="655">
        <f t="shared" si="10"/>
        <v>39159.75</v>
      </c>
      <c r="E249" s="723">
        <f>E247+1</f>
        <v>121</v>
      </c>
      <c r="F249" s="655">
        <f>38248-1193.5+7*E249</f>
        <v>37901.5</v>
      </c>
      <c r="G249" s="722" t="s">
        <v>106</v>
      </c>
      <c r="H249" s="655">
        <f>38248+66.5+7*E249</f>
        <v>39161.5</v>
      </c>
      <c r="I249" s="657"/>
      <c r="J249" s="655"/>
      <c r="K249" s="655"/>
      <c r="L249" s="656"/>
      <c r="M249" s="657"/>
      <c r="N249" s="655"/>
      <c r="O249" s="655"/>
      <c r="P249" s="656"/>
      <c r="Q249" s="657"/>
      <c r="R249" s="660"/>
      <c r="S249" s="660"/>
      <c r="T249" s="656"/>
      <c r="U249" s="657"/>
      <c r="V249" s="660"/>
      <c r="W249" s="660"/>
      <c r="X249" s="660"/>
      <c r="Y249" s="656"/>
      <c r="Z249" s="657"/>
      <c r="AA249" s="660"/>
      <c r="AB249" s="660"/>
      <c r="AC249" s="660"/>
      <c r="AD249" s="656"/>
      <c r="AE249" s="700"/>
    </row>
    <row r="250" spans="1:31" x14ac:dyDescent="0.25">
      <c r="A250" s="606">
        <f t="shared" si="11"/>
        <v>242</v>
      </c>
      <c r="B250" s="617">
        <f t="shared" si="9"/>
        <v>37903.25</v>
      </c>
      <c r="C250" s="617" t="s">
        <v>106</v>
      </c>
      <c r="D250" s="617">
        <f t="shared" si="10"/>
        <v>39163.25</v>
      </c>
      <c r="E250" s="638"/>
      <c r="F250" s="618"/>
      <c r="G250" s="620"/>
      <c r="H250" s="622"/>
      <c r="I250" s="619">
        <f>I246+1</f>
        <v>61</v>
      </c>
      <c r="J250" s="617">
        <f>38248-1197+14*I250</f>
        <v>37905</v>
      </c>
      <c r="K250" s="620" t="s">
        <v>106</v>
      </c>
      <c r="L250" s="617">
        <f>38248+63+14*I250</f>
        <v>39165</v>
      </c>
      <c r="M250" s="619"/>
      <c r="N250" s="618"/>
      <c r="O250" s="618"/>
      <c r="P250" s="622"/>
      <c r="Q250" s="619"/>
      <c r="R250" s="624"/>
      <c r="S250" s="624"/>
      <c r="T250" s="622"/>
      <c r="U250" s="619"/>
      <c r="V250" s="624"/>
      <c r="W250" s="624"/>
      <c r="X250" s="624"/>
      <c r="Y250" s="622"/>
      <c r="Z250" s="619"/>
      <c r="AA250" s="624"/>
      <c r="AB250" s="624"/>
      <c r="AC250" s="624"/>
      <c r="AD250" s="622"/>
      <c r="AE250" s="636"/>
    </row>
    <row r="251" spans="1:31" x14ac:dyDescent="0.25">
      <c r="A251" s="606">
        <f t="shared" si="11"/>
        <v>243</v>
      </c>
      <c r="B251" s="617">
        <f t="shared" si="9"/>
        <v>37906.75</v>
      </c>
      <c r="C251" s="617" t="s">
        <v>106</v>
      </c>
      <c r="D251" s="617">
        <f t="shared" si="10"/>
        <v>39166.75</v>
      </c>
      <c r="E251" s="638">
        <f>E249+1</f>
        <v>122</v>
      </c>
      <c r="F251" s="617">
        <f>38248-1193.5+7*E251</f>
        <v>37908.5</v>
      </c>
      <c r="G251" s="620" t="s">
        <v>106</v>
      </c>
      <c r="H251" s="617">
        <f>38248+66.5+7*E251</f>
        <v>39168.5</v>
      </c>
      <c r="I251" s="619"/>
      <c r="J251" s="618"/>
      <c r="K251" s="620"/>
      <c r="L251" s="621"/>
      <c r="M251" s="619"/>
      <c r="N251" s="618"/>
      <c r="O251" s="618"/>
      <c r="P251" s="622"/>
      <c r="Q251" s="619"/>
      <c r="R251" s="624"/>
      <c r="S251" s="624"/>
      <c r="T251" s="622"/>
      <c r="U251" s="619"/>
      <c r="V251" s="624"/>
      <c r="W251" s="624"/>
      <c r="X251" s="624"/>
      <c r="Y251" s="622"/>
      <c r="Z251" s="619"/>
      <c r="AA251" s="624"/>
      <c r="AB251" s="624"/>
      <c r="AC251" s="624"/>
      <c r="AD251" s="622"/>
      <c r="AE251" s="636"/>
    </row>
    <row r="252" spans="1:31" x14ac:dyDescent="0.25">
      <c r="A252" s="606">
        <f t="shared" si="11"/>
        <v>244</v>
      </c>
      <c r="B252" s="617">
        <f t="shared" si="9"/>
        <v>37910.25</v>
      </c>
      <c r="C252" s="617" t="s">
        <v>106</v>
      </c>
      <c r="D252" s="617">
        <f t="shared" si="10"/>
        <v>39170.25</v>
      </c>
      <c r="E252" s="638"/>
      <c r="F252" s="618"/>
      <c r="G252" s="620"/>
      <c r="H252" s="622"/>
      <c r="I252" s="619"/>
      <c r="J252" s="618"/>
      <c r="K252" s="618"/>
      <c r="L252" s="622"/>
      <c r="M252" s="619">
        <f>M244+1</f>
        <v>31</v>
      </c>
      <c r="N252" s="617">
        <f>38248-1204+28*M252</f>
        <v>37912</v>
      </c>
      <c r="O252" s="620" t="s">
        <v>106</v>
      </c>
      <c r="P252" s="617">
        <f>38248+56+28*M252</f>
        <v>39172</v>
      </c>
      <c r="Q252" s="619"/>
      <c r="R252" s="618"/>
      <c r="S252" s="620"/>
      <c r="T252" s="621"/>
      <c r="U252" s="619"/>
      <c r="V252" s="624"/>
      <c r="W252" s="624"/>
      <c r="X252" s="624"/>
      <c r="Y252" s="622"/>
      <c r="Z252" s="619"/>
      <c r="AA252" s="624"/>
      <c r="AB252" s="624"/>
      <c r="AC252" s="624"/>
      <c r="AD252" s="622"/>
      <c r="AE252" s="636"/>
    </row>
    <row r="253" spans="1:31" x14ac:dyDescent="0.25">
      <c r="A253" s="606">
        <f t="shared" si="11"/>
        <v>245</v>
      </c>
      <c r="B253" s="617">
        <f t="shared" si="9"/>
        <v>37913.75</v>
      </c>
      <c r="C253" s="617" t="s">
        <v>106</v>
      </c>
      <c r="D253" s="617">
        <f t="shared" si="10"/>
        <v>39173.75</v>
      </c>
      <c r="E253" s="638">
        <f>E251+1</f>
        <v>123</v>
      </c>
      <c r="F253" s="617">
        <f>38248-1193.5+7*E253</f>
        <v>37915.5</v>
      </c>
      <c r="G253" s="620" t="s">
        <v>106</v>
      </c>
      <c r="H253" s="617">
        <f>38248+66.5+7*E253</f>
        <v>39175.5</v>
      </c>
      <c r="I253" s="619"/>
      <c r="J253" s="618"/>
      <c r="K253" s="618"/>
      <c r="L253" s="622"/>
      <c r="M253" s="619"/>
      <c r="N253" s="618"/>
      <c r="O253" s="618"/>
      <c r="P253" s="622"/>
      <c r="Q253" s="619"/>
      <c r="R253" s="624"/>
      <c r="S253" s="624"/>
      <c r="T253" s="622"/>
      <c r="U253" s="619"/>
      <c r="V253" s="624"/>
      <c r="W253" s="624"/>
      <c r="X253" s="624"/>
      <c r="Y253" s="622"/>
      <c r="Z253" s="619"/>
      <c r="AA253" s="624"/>
      <c r="AB253" s="624"/>
      <c r="AC253" s="624"/>
      <c r="AD253" s="622"/>
      <c r="AE253" s="636"/>
    </row>
    <row r="254" spans="1:31" x14ac:dyDescent="0.25">
      <c r="A254" s="606">
        <f t="shared" si="11"/>
        <v>246</v>
      </c>
      <c r="B254" s="617">
        <f t="shared" si="9"/>
        <v>37917.25</v>
      </c>
      <c r="C254" s="617" t="s">
        <v>106</v>
      </c>
      <c r="D254" s="617">
        <f t="shared" si="10"/>
        <v>39177.25</v>
      </c>
      <c r="E254" s="638"/>
      <c r="F254" s="618"/>
      <c r="G254" s="620"/>
      <c r="H254" s="622"/>
      <c r="I254" s="619">
        <f>I250+1</f>
        <v>62</v>
      </c>
      <c r="J254" s="617">
        <f>38248-1197+14*I254</f>
        <v>37919</v>
      </c>
      <c r="K254" s="620" t="s">
        <v>106</v>
      </c>
      <c r="L254" s="617">
        <f>38248+63+14*I254</f>
        <v>39179</v>
      </c>
      <c r="M254" s="619"/>
      <c r="N254" s="618"/>
      <c r="O254" s="618"/>
      <c r="P254" s="622"/>
      <c r="Q254" s="619"/>
      <c r="R254" s="624"/>
      <c r="S254" s="624"/>
      <c r="T254" s="622"/>
      <c r="U254" s="619"/>
      <c r="V254" s="624"/>
      <c r="W254" s="624"/>
      <c r="X254" s="624"/>
      <c r="Y254" s="622"/>
      <c r="Z254" s="619"/>
      <c r="AA254" s="624"/>
      <c r="AB254" s="624"/>
      <c r="AC254" s="624"/>
      <c r="AD254" s="622"/>
      <c r="AE254" s="636"/>
    </row>
    <row r="255" spans="1:31" x14ac:dyDescent="0.25">
      <c r="A255" s="606">
        <f t="shared" si="11"/>
        <v>247</v>
      </c>
      <c r="B255" s="617">
        <f t="shared" si="9"/>
        <v>37920.75</v>
      </c>
      <c r="C255" s="617" t="s">
        <v>106</v>
      </c>
      <c r="D255" s="617">
        <f t="shared" si="10"/>
        <v>39180.75</v>
      </c>
      <c r="E255" s="638">
        <f>E253+1</f>
        <v>124</v>
      </c>
      <c r="F255" s="617">
        <f>38248-1193.5+7*E255</f>
        <v>37922.5</v>
      </c>
      <c r="G255" s="620" t="s">
        <v>106</v>
      </c>
      <c r="H255" s="617">
        <f>38248+66.5+7*E255</f>
        <v>39182.5</v>
      </c>
      <c r="I255" s="619"/>
      <c r="J255" s="618"/>
      <c r="K255" s="620"/>
      <c r="L255" s="621"/>
      <c r="M255" s="619"/>
      <c r="N255" s="618"/>
      <c r="O255" s="618"/>
      <c r="P255" s="622"/>
      <c r="Q255" s="619"/>
      <c r="R255" s="624"/>
      <c r="S255" s="624"/>
      <c r="T255" s="622"/>
      <c r="U255" s="619"/>
      <c r="V255" s="624"/>
      <c r="W255" s="624"/>
      <c r="X255" s="624"/>
      <c r="Y255" s="622"/>
      <c r="Z255" s="619"/>
      <c r="AA255" s="624"/>
      <c r="AB255" s="624"/>
      <c r="AC255" s="624"/>
      <c r="AD255" s="622"/>
      <c r="AE255" s="679"/>
    </row>
    <row r="256" spans="1:31" x14ac:dyDescent="0.25">
      <c r="A256" s="606">
        <f t="shared" si="11"/>
        <v>248</v>
      </c>
      <c r="B256" s="617">
        <f t="shared" si="9"/>
        <v>37924.25</v>
      </c>
      <c r="C256" s="617" t="s">
        <v>106</v>
      </c>
      <c r="D256" s="617">
        <f t="shared" si="10"/>
        <v>39184.25</v>
      </c>
      <c r="E256" s="638"/>
      <c r="F256" s="618"/>
      <c r="G256" s="620"/>
      <c r="H256" s="622"/>
      <c r="I256" s="619"/>
      <c r="J256" s="618"/>
      <c r="K256" s="618"/>
      <c r="L256" s="622"/>
      <c r="M256" s="619"/>
      <c r="N256" s="618"/>
      <c r="O256" s="618"/>
      <c r="P256" s="622"/>
      <c r="Q256" s="619">
        <f>Q240+1</f>
        <v>16</v>
      </c>
      <c r="R256" s="617">
        <f>38248-1218+56*Q256</f>
        <v>37926</v>
      </c>
      <c r="S256" s="620" t="s">
        <v>106</v>
      </c>
      <c r="T256" s="617">
        <f>38248+42+56*Q256</f>
        <v>39186</v>
      </c>
      <c r="U256" s="619"/>
      <c r="V256" s="624"/>
      <c r="W256" s="624"/>
      <c r="X256" s="624"/>
      <c r="Y256" s="622"/>
      <c r="Z256" s="619"/>
      <c r="AA256" s="624"/>
      <c r="AB256" s="624"/>
      <c r="AC256" s="624"/>
      <c r="AD256" s="622"/>
      <c r="AE256" s="791" t="s">
        <v>190</v>
      </c>
    </row>
    <row r="257" spans="1:31" x14ac:dyDescent="0.25">
      <c r="A257" s="606">
        <f t="shared" si="11"/>
        <v>249</v>
      </c>
      <c r="B257" s="617">
        <f t="shared" si="9"/>
        <v>37927.75</v>
      </c>
      <c r="C257" s="617" t="s">
        <v>106</v>
      </c>
      <c r="D257" s="617">
        <f t="shared" si="10"/>
        <v>39187.75</v>
      </c>
      <c r="E257" s="638">
        <f>E255+1</f>
        <v>125</v>
      </c>
      <c r="F257" s="617">
        <f>38248-1193.5+7*E257</f>
        <v>37929.5</v>
      </c>
      <c r="G257" s="620" t="s">
        <v>106</v>
      </c>
      <c r="H257" s="617">
        <f>38248+66.5+7*E257</f>
        <v>39189.5</v>
      </c>
      <c r="I257" s="619"/>
      <c r="J257" s="618"/>
      <c r="K257" s="618"/>
      <c r="L257" s="622"/>
      <c r="M257" s="619"/>
      <c r="N257" s="618"/>
      <c r="O257" s="618"/>
      <c r="P257" s="622"/>
      <c r="Q257" s="619"/>
      <c r="R257" s="624"/>
      <c r="S257" s="624"/>
      <c r="T257" s="622"/>
      <c r="U257" s="619"/>
      <c r="V257" s="624"/>
      <c r="W257" s="624"/>
      <c r="X257" s="624"/>
      <c r="Y257" s="622"/>
      <c r="Z257" s="619"/>
      <c r="AA257" s="624"/>
      <c r="AB257" s="624"/>
      <c r="AC257" s="624"/>
      <c r="AD257" s="622"/>
      <c r="AE257" s="679"/>
    </row>
    <row r="258" spans="1:31" x14ac:dyDescent="0.25">
      <c r="A258" s="606">
        <f t="shared" si="11"/>
        <v>250</v>
      </c>
      <c r="B258" s="617">
        <f t="shared" si="9"/>
        <v>37931.25</v>
      </c>
      <c r="C258" s="617" t="s">
        <v>106</v>
      </c>
      <c r="D258" s="617">
        <f t="shared" si="10"/>
        <v>39191.25</v>
      </c>
      <c r="E258" s="638"/>
      <c r="F258" s="618"/>
      <c r="G258" s="620"/>
      <c r="H258" s="622"/>
      <c r="I258" s="619">
        <f>I254+1</f>
        <v>63</v>
      </c>
      <c r="J258" s="617">
        <f>38248-1197+14*I258</f>
        <v>37933</v>
      </c>
      <c r="K258" s="620" t="s">
        <v>106</v>
      </c>
      <c r="L258" s="617">
        <f>38248+63+14*I258</f>
        <v>39193</v>
      </c>
      <c r="M258" s="619"/>
      <c r="N258" s="618"/>
      <c r="O258" s="618"/>
      <c r="P258" s="622"/>
      <c r="Q258" s="619"/>
      <c r="R258" s="624"/>
      <c r="S258" s="624"/>
      <c r="T258" s="622"/>
      <c r="U258" s="619"/>
      <c r="V258" s="624"/>
      <c r="W258" s="624"/>
      <c r="X258" s="624"/>
      <c r="Y258" s="622"/>
      <c r="Z258" s="619"/>
      <c r="AA258" s="624"/>
      <c r="AB258" s="624"/>
      <c r="AC258" s="624"/>
      <c r="AD258" s="622"/>
      <c r="AE258" s="706"/>
    </row>
    <row r="259" spans="1:31" x14ac:dyDescent="0.25">
      <c r="A259" s="606">
        <f t="shared" si="11"/>
        <v>251</v>
      </c>
      <c r="B259" s="617">
        <f t="shared" si="9"/>
        <v>37934.75</v>
      </c>
      <c r="C259" s="617" t="s">
        <v>106</v>
      </c>
      <c r="D259" s="617">
        <f t="shared" si="10"/>
        <v>39194.75</v>
      </c>
      <c r="E259" s="638">
        <f>E257+1</f>
        <v>126</v>
      </c>
      <c r="F259" s="617">
        <f>38248-1193.5+7*E259</f>
        <v>37936.5</v>
      </c>
      <c r="G259" s="620" t="s">
        <v>106</v>
      </c>
      <c r="H259" s="617">
        <f>38248+66.5+7*E259</f>
        <v>39196.5</v>
      </c>
      <c r="I259" s="619"/>
      <c r="J259" s="618"/>
      <c r="K259" s="620"/>
      <c r="L259" s="621"/>
      <c r="M259" s="619"/>
      <c r="N259" s="618"/>
      <c r="O259" s="618"/>
      <c r="P259" s="622"/>
      <c r="Q259" s="619"/>
      <c r="R259" s="647"/>
      <c r="S259" s="624"/>
      <c r="T259" s="648"/>
      <c r="U259" s="619"/>
      <c r="V259" s="624"/>
      <c r="W259" s="624"/>
      <c r="X259" s="624"/>
      <c r="Y259" s="622"/>
      <c r="Z259" s="619"/>
      <c r="AA259" s="624"/>
      <c r="AB259" s="624"/>
      <c r="AC259" s="624"/>
      <c r="AD259" s="622"/>
      <c r="AE259" s="614"/>
    </row>
    <row r="260" spans="1:31" x14ac:dyDescent="0.25">
      <c r="A260" s="606">
        <f t="shared" si="11"/>
        <v>252</v>
      </c>
      <c r="B260" s="617">
        <f t="shared" si="9"/>
        <v>37938.25</v>
      </c>
      <c r="C260" s="617" t="s">
        <v>106</v>
      </c>
      <c r="D260" s="617">
        <f t="shared" si="10"/>
        <v>39198.25</v>
      </c>
      <c r="E260" s="638"/>
      <c r="F260" s="618"/>
      <c r="G260" s="620"/>
      <c r="H260" s="622"/>
      <c r="I260" s="619"/>
      <c r="J260" s="618"/>
      <c r="K260" s="618"/>
      <c r="L260" s="622"/>
      <c r="M260" s="619">
        <f>M252+1</f>
        <v>32</v>
      </c>
      <c r="N260" s="617">
        <f>38248-1204+28*M260</f>
        <v>37940</v>
      </c>
      <c r="O260" s="620" t="s">
        <v>106</v>
      </c>
      <c r="P260" s="617">
        <f>38248+56+28*M260</f>
        <v>39200</v>
      </c>
      <c r="Q260" s="619"/>
      <c r="R260" s="624"/>
      <c r="S260" s="624"/>
      <c r="T260" s="622"/>
      <c r="U260" s="619"/>
      <c r="V260" s="624"/>
      <c r="W260" s="624"/>
      <c r="X260" s="624"/>
      <c r="Y260" s="622"/>
      <c r="Z260" s="619"/>
      <c r="AA260" s="624"/>
      <c r="AB260" s="624"/>
      <c r="AC260" s="624"/>
      <c r="AD260" s="622"/>
      <c r="AE260" s="614"/>
    </row>
    <row r="261" spans="1:31" x14ac:dyDescent="0.25">
      <c r="A261" s="606">
        <f t="shared" si="11"/>
        <v>253</v>
      </c>
      <c r="B261" s="617">
        <f t="shared" si="9"/>
        <v>37941.75</v>
      </c>
      <c r="C261" s="617" t="s">
        <v>106</v>
      </c>
      <c r="D261" s="617">
        <f t="shared" si="10"/>
        <v>39201.75</v>
      </c>
      <c r="E261" s="638">
        <f>E259+1</f>
        <v>127</v>
      </c>
      <c r="F261" s="617">
        <f>38248-1193.5+7*E261</f>
        <v>37943.5</v>
      </c>
      <c r="G261" s="620" t="s">
        <v>106</v>
      </c>
      <c r="H261" s="617">
        <f>38248+66.5+7*E261</f>
        <v>39203.5</v>
      </c>
      <c r="I261" s="619"/>
      <c r="J261" s="618"/>
      <c r="K261" s="618"/>
      <c r="L261" s="622"/>
      <c r="M261" s="619"/>
      <c r="N261" s="618"/>
      <c r="O261" s="618"/>
      <c r="P261" s="622"/>
      <c r="Q261" s="619"/>
      <c r="R261" s="624"/>
      <c r="S261" s="624"/>
      <c r="T261" s="622"/>
      <c r="U261" s="619"/>
      <c r="V261" s="624"/>
      <c r="W261" s="624"/>
      <c r="X261" s="624"/>
      <c r="Y261" s="622"/>
      <c r="Z261" s="619"/>
      <c r="AA261" s="624"/>
      <c r="AB261" s="624"/>
      <c r="AC261" s="624"/>
      <c r="AD261" s="622"/>
      <c r="AE261" s="614"/>
    </row>
    <row r="262" spans="1:31" x14ac:dyDescent="0.25">
      <c r="A262" s="606">
        <f t="shared" si="11"/>
        <v>254</v>
      </c>
      <c r="B262" s="617">
        <f t="shared" si="9"/>
        <v>37945.25</v>
      </c>
      <c r="C262" s="617" t="s">
        <v>106</v>
      </c>
      <c r="D262" s="617">
        <f t="shared" si="10"/>
        <v>39205.25</v>
      </c>
      <c r="E262" s="638"/>
      <c r="F262" s="618"/>
      <c r="G262" s="620"/>
      <c r="H262" s="622"/>
      <c r="I262" s="619">
        <f>I258+1</f>
        <v>64</v>
      </c>
      <c r="J262" s="617">
        <f>38248-1197+14*I262</f>
        <v>37947</v>
      </c>
      <c r="K262" s="620" t="s">
        <v>106</v>
      </c>
      <c r="L262" s="617">
        <f>38248+63+14*I262</f>
        <v>39207</v>
      </c>
      <c r="M262" s="619"/>
      <c r="N262" s="618"/>
      <c r="O262" s="618"/>
      <c r="P262" s="622"/>
      <c r="Q262" s="619"/>
      <c r="R262" s="647"/>
      <c r="S262" s="647"/>
      <c r="T262" s="648"/>
      <c r="U262" s="619"/>
      <c r="V262" s="624"/>
      <c r="W262" s="624"/>
      <c r="X262" s="624"/>
      <c r="Y262" s="622"/>
      <c r="Z262" s="619"/>
      <c r="AA262" s="624"/>
      <c r="AB262" s="624"/>
      <c r="AC262" s="624"/>
      <c r="AD262" s="622"/>
      <c r="AE262" s="614"/>
    </row>
    <row r="263" spans="1:31" x14ac:dyDescent="0.25">
      <c r="A263" s="606">
        <f t="shared" si="11"/>
        <v>255</v>
      </c>
      <c r="B263" s="617">
        <f t="shared" si="9"/>
        <v>37948.75</v>
      </c>
      <c r="C263" s="617" t="s">
        <v>106</v>
      </c>
      <c r="D263" s="617">
        <f t="shared" si="10"/>
        <v>39208.75</v>
      </c>
      <c r="E263" s="638">
        <f>E261+1</f>
        <v>128</v>
      </c>
      <c r="F263" s="617">
        <f>38248-1193.5+7*E263</f>
        <v>37950.5</v>
      </c>
      <c r="G263" s="620" t="s">
        <v>106</v>
      </c>
      <c r="H263" s="617">
        <f>38248+66.5+7*E263</f>
        <v>39210.5</v>
      </c>
      <c r="I263" s="619"/>
      <c r="J263" s="618"/>
      <c r="K263" s="620"/>
      <c r="L263" s="621"/>
      <c r="M263" s="619"/>
      <c r="N263" s="618"/>
      <c r="O263" s="618"/>
      <c r="P263" s="622"/>
      <c r="Q263" s="619"/>
      <c r="R263" s="624"/>
      <c r="S263" s="624"/>
      <c r="T263" s="622"/>
      <c r="U263" s="619"/>
      <c r="V263" s="624"/>
      <c r="W263" s="624"/>
      <c r="X263" s="624"/>
      <c r="Y263" s="622"/>
      <c r="Z263" s="619"/>
      <c r="AA263" s="624"/>
      <c r="AB263" s="624"/>
      <c r="AC263" s="624"/>
      <c r="AD263" s="622"/>
      <c r="AE263" s="614"/>
    </row>
    <row r="264" spans="1:31" ht="15.75" thickBot="1" x14ac:dyDescent="0.3">
      <c r="A264" s="642">
        <f t="shared" si="11"/>
        <v>256</v>
      </c>
      <c r="B264" s="673">
        <f t="shared" si="9"/>
        <v>37952.25</v>
      </c>
      <c r="C264" s="673" t="s">
        <v>106</v>
      </c>
      <c r="D264" s="673">
        <f t="shared" si="10"/>
        <v>39212.25</v>
      </c>
      <c r="E264" s="639"/>
      <c r="F264" s="643"/>
      <c r="G264" s="644"/>
      <c r="H264" s="648"/>
      <c r="I264" s="645"/>
      <c r="J264" s="643"/>
      <c r="K264" s="643"/>
      <c r="L264" s="648"/>
      <c r="M264" s="645"/>
      <c r="N264" s="643"/>
      <c r="O264" s="643"/>
      <c r="P264" s="648"/>
      <c r="Q264" s="645"/>
      <c r="R264" s="647"/>
      <c r="S264" s="647"/>
      <c r="T264" s="648"/>
      <c r="U264" s="645"/>
      <c r="V264" s="647"/>
      <c r="W264" s="647"/>
      <c r="X264" s="647"/>
      <c r="Y264" s="648"/>
      <c r="Z264" s="645">
        <v>8</v>
      </c>
      <c r="AA264" s="624">
        <f>38248-1190+112*Z264</f>
        <v>37954</v>
      </c>
      <c r="AB264" s="624"/>
      <c r="AC264" s="624">
        <f>38248+70+112*Z264</f>
        <v>39214</v>
      </c>
      <c r="AD264" s="648"/>
      <c r="AE264" s="711"/>
    </row>
    <row r="265" spans="1:31" ht="15.75" thickTop="1" x14ac:dyDescent="0.25">
      <c r="A265" s="721">
        <f t="shared" si="11"/>
        <v>257</v>
      </c>
      <c r="B265" s="655">
        <f t="shared" si="9"/>
        <v>37955.75</v>
      </c>
      <c r="C265" s="655" t="s">
        <v>106</v>
      </c>
      <c r="D265" s="655">
        <f t="shared" si="10"/>
        <v>39215.75</v>
      </c>
      <c r="E265" s="657">
        <f>E263+1</f>
        <v>129</v>
      </c>
      <c r="F265" s="655">
        <f>38248-1193.5+7*E265</f>
        <v>37957.5</v>
      </c>
      <c r="G265" s="722" t="s">
        <v>106</v>
      </c>
      <c r="H265" s="724">
        <f>38248+66.5+7*E265</f>
        <v>39217.5</v>
      </c>
      <c r="I265" s="657"/>
      <c r="J265" s="655"/>
      <c r="K265" s="655"/>
      <c r="L265" s="656"/>
      <c r="M265" s="657"/>
      <c r="N265" s="655"/>
      <c r="O265" s="655"/>
      <c r="P265" s="656"/>
      <c r="Q265" s="659"/>
      <c r="R265" s="660"/>
      <c r="S265" s="660"/>
      <c r="T265" s="656"/>
      <c r="U265" s="657"/>
      <c r="V265" s="660"/>
      <c r="W265" s="660"/>
      <c r="X265" s="660"/>
      <c r="Y265" s="699"/>
      <c r="Z265" s="657"/>
      <c r="AA265" s="660"/>
      <c r="AB265" s="660"/>
      <c r="AC265" s="660"/>
      <c r="AD265" s="699"/>
      <c r="AE265" s="700"/>
    </row>
    <row r="266" spans="1:31" x14ac:dyDescent="0.25">
      <c r="A266" s="618">
        <f t="shared" si="11"/>
        <v>258</v>
      </c>
      <c r="B266" s="617">
        <f t="shared" ref="B266:B328" si="12">38248-1191.75+3.5*A266</f>
        <v>37959.25</v>
      </c>
      <c r="C266" s="617" t="s">
        <v>106</v>
      </c>
      <c r="D266" s="617">
        <f t="shared" ref="D266:D328" si="13">38248+68.25+3.5*A266</f>
        <v>39219.25</v>
      </c>
      <c r="E266" s="619"/>
      <c r="F266" s="618"/>
      <c r="G266" s="620"/>
      <c r="H266" s="625"/>
      <c r="I266" s="619">
        <f>I262+1</f>
        <v>65</v>
      </c>
      <c r="J266" s="617">
        <f>38248-1197+14*I266</f>
        <v>37961</v>
      </c>
      <c r="K266" s="620" t="s">
        <v>106</v>
      </c>
      <c r="L266" s="701">
        <f>38248+63+14*I266</f>
        <v>39221</v>
      </c>
      <c r="M266" s="619"/>
      <c r="N266" s="618"/>
      <c r="O266" s="618"/>
      <c r="P266" s="622"/>
      <c r="Q266" s="663"/>
      <c r="R266" s="624"/>
      <c r="S266" s="624"/>
      <c r="T266" s="622"/>
      <c r="U266" s="619"/>
      <c r="V266" s="702"/>
      <c r="W266" s="624"/>
      <c r="X266" s="624"/>
      <c r="Y266" s="703"/>
      <c r="Z266" s="619"/>
      <c r="AA266" s="702"/>
      <c r="AB266" s="624"/>
      <c r="AC266" s="624"/>
      <c r="AD266" s="703"/>
      <c r="AE266" s="636"/>
    </row>
    <row r="267" spans="1:31" x14ac:dyDescent="0.25">
      <c r="A267" s="618">
        <f t="shared" si="11"/>
        <v>259</v>
      </c>
      <c r="B267" s="617">
        <f t="shared" si="12"/>
        <v>37962.75</v>
      </c>
      <c r="C267" s="617" t="s">
        <v>106</v>
      </c>
      <c r="D267" s="617">
        <f t="shared" si="13"/>
        <v>39222.75</v>
      </c>
      <c r="E267" s="619">
        <f>E265+1</f>
        <v>130</v>
      </c>
      <c r="F267" s="617">
        <f>38248-1193.5+7*E267</f>
        <v>37964.5</v>
      </c>
      <c r="G267" s="620" t="s">
        <v>106</v>
      </c>
      <c r="H267" s="725">
        <f>38248+66.5+7*E267</f>
        <v>39224.5</v>
      </c>
      <c r="I267" s="619"/>
      <c r="J267" s="618"/>
      <c r="K267" s="620"/>
      <c r="L267" s="621"/>
      <c r="M267" s="619"/>
      <c r="N267" s="618"/>
      <c r="O267" s="618"/>
      <c r="P267" s="622"/>
      <c r="Q267" s="663"/>
      <c r="R267" s="624"/>
      <c r="S267" s="624"/>
      <c r="T267" s="622"/>
      <c r="U267" s="619"/>
      <c r="V267" s="624"/>
      <c r="W267" s="624"/>
      <c r="X267" s="624"/>
      <c r="Y267" s="622"/>
      <c r="Z267" s="619"/>
      <c r="AA267" s="624"/>
      <c r="AB267" s="624"/>
      <c r="AC267" s="624"/>
      <c r="AD267" s="622"/>
      <c r="AE267" s="636"/>
    </row>
    <row r="268" spans="1:31" x14ac:dyDescent="0.25">
      <c r="A268" s="618">
        <f t="shared" si="11"/>
        <v>260</v>
      </c>
      <c r="B268" s="617">
        <f t="shared" si="12"/>
        <v>37966.25</v>
      </c>
      <c r="C268" s="617" t="s">
        <v>106</v>
      </c>
      <c r="D268" s="617">
        <f t="shared" si="13"/>
        <v>39226.25</v>
      </c>
      <c r="E268" s="619"/>
      <c r="F268" s="618"/>
      <c r="G268" s="620"/>
      <c r="H268" s="625"/>
      <c r="I268" s="619"/>
      <c r="J268" s="618"/>
      <c r="K268" s="618"/>
      <c r="L268" s="622"/>
      <c r="M268" s="619">
        <f>M260+1</f>
        <v>33</v>
      </c>
      <c r="N268" s="617">
        <f>38248-1204+28*M268</f>
        <v>37968</v>
      </c>
      <c r="O268" s="620" t="s">
        <v>106</v>
      </c>
      <c r="P268" s="617">
        <f>38248+56+28*M268</f>
        <v>39228</v>
      </c>
      <c r="Q268" s="663"/>
      <c r="R268" s="618"/>
      <c r="S268" s="620"/>
      <c r="T268" s="621"/>
      <c r="U268" s="619"/>
      <c r="V268" s="617"/>
      <c r="W268" s="620"/>
      <c r="X268" s="620"/>
      <c r="Y268" s="617"/>
      <c r="Z268" s="619"/>
      <c r="AA268" s="617"/>
      <c r="AB268" s="620"/>
      <c r="AC268" s="620"/>
      <c r="AD268" s="617"/>
      <c r="AE268" s="636"/>
    </row>
    <row r="269" spans="1:31" x14ac:dyDescent="0.25">
      <c r="A269" s="618">
        <f t="shared" si="11"/>
        <v>261</v>
      </c>
      <c r="B269" s="617">
        <f t="shared" si="12"/>
        <v>37969.75</v>
      </c>
      <c r="C269" s="617" t="s">
        <v>106</v>
      </c>
      <c r="D269" s="617">
        <f t="shared" si="13"/>
        <v>39229.75</v>
      </c>
      <c r="E269" s="619">
        <f>E267+1</f>
        <v>131</v>
      </c>
      <c r="F269" s="617">
        <f>38248-1193.5+7*E269</f>
        <v>37971.5</v>
      </c>
      <c r="G269" s="620" t="s">
        <v>106</v>
      </c>
      <c r="H269" s="725">
        <f>38248+66.5+7*E269</f>
        <v>39231.5</v>
      </c>
      <c r="I269" s="619"/>
      <c r="J269" s="618"/>
      <c r="K269" s="618"/>
      <c r="L269" s="622"/>
      <c r="M269" s="619"/>
      <c r="N269" s="618"/>
      <c r="O269" s="618"/>
      <c r="P269" s="622"/>
      <c r="Q269" s="704"/>
      <c r="R269" s="624"/>
      <c r="S269" s="624"/>
      <c r="T269" s="622"/>
      <c r="U269" s="597"/>
      <c r="V269" s="705"/>
      <c r="W269" s="705"/>
      <c r="X269" s="705"/>
      <c r="Y269" s="605"/>
      <c r="Z269" s="597"/>
      <c r="AA269" s="705"/>
      <c r="AB269" s="705"/>
      <c r="AC269" s="705"/>
      <c r="AD269" s="605"/>
      <c r="AE269" s="636"/>
    </row>
    <row r="270" spans="1:31" x14ac:dyDescent="0.25">
      <c r="A270" s="618">
        <f t="shared" si="11"/>
        <v>262</v>
      </c>
      <c r="B270" s="617">
        <f t="shared" si="12"/>
        <v>37973.25</v>
      </c>
      <c r="C270" s="617" t="s">
        <v>106</v>
      </c>
      <c r="D270" s="617">
        <f t="shared" si="13"/>
        <v>39233.25</v>
      </c>
      <c r="E270" s="619"/>
      <c r="F270" s="618"/>
      <c r="G270" s="620"/>
      <c r="H270" s="625"/>
      <c r="I270" s="619">
        <f>I266+1</f>
        <v>66</v>
      </c>
      <c r="J270" s="617">
        <f>38248-1197+14*I270</f>
        <v>37975</v>
      </c>
      <c r="K270" s="620" t="s">
        <v>106</v>
      </c>
      <c r="L270" s="701">
        <f>38248+63+14*I270</f>
        <v>39235</v>
      </c>
      <c r="M270" s="619"/>
      <c r="N270" s="618"/>
      <c r="O270" s="618"/>
      <c r="P270" s="622"/>
      <c r="Q270" s="704"/>
      <c r="R270" s="624"/>
      <c r="S270" s="624"/>
      <c r="T270" s="622"/>
      <c r="U270" s="597"/>
      <c r="V270" s="705"/>
      <c r="W270" s="705"/>
      <c r="X270" s="705"/>
      <c r="Y270" s="605"/>
      <c r="Z270" s="597"/>
      <c r="AA270" s="705"/>
      <c r="AB270" s="705"/>
      <c r="AC270" s="705"/>
      <c r="AD270" s="605"/>
      <c r="AE270" s="636"/>
    </row>
    <row r="271" spans="1:31" x14ac:dyDescent="0.25">
      <c r="A271" s="618">
        <f t="shared" ref="A271:A328" si="14">A270+1</f>
        <v>263</v>
      </c>
      <c r="B271" s="617">
        <f t="shared" si="12"/>
        <v>37976.75</v>
      </c>
      <c r="C271" s="617" t="s">
        <v>106</v>
      </c>
      <c r="D271" s="617">
        <f t="shared" si="13"/>
        <v>39236.75</v>
      </c>
      <c r="E271" s="619">
        <f>E269+1</f>
        <v>132</v>
      </c>
      <c r="F271" s="617">
        <f>38248-1193.5+7*E271</f>
        <v>37978.5</v>
      </c>
      <c r="G271" s="620" t="s">
        <v>106</v>
      </c>
      <c r="H271" s="725">
        <f>38248+66.5+7*E271</f>
        <v>39238.5</v>
      </c>
      <c r="I271" s="619"/>
      <c r="J271" s="618"/>
      <c r="K271" s="620"/>
      <c r="L271" s="621"/>
      <c r="M271" s="619"/>
      <c r="N271" s="618"/>
      <c r="O271" s="618"/>
      <c r="P271" s="622"/>
      <c r="Q271" s="663"/>
      <c r="R271" s="624"/>
      <c r="S271" s="624"/>
      <c r="T271" s="622"/>
      <c r="U271" s="619"/>
      <c r="V271" s="624"/>
      <c r="W271" s="624"/>
      <c r="X271" s="624"/>
      <c r="Y271" s="622"/>
      <c r="Z271" s="619"/>
      <c r="AA271" s="624"/>
      <c r="AB271" s="624"/>
      <c r="AC271" s="624"/>
      <c r="AD271" s="622"/>
      <c r="AE271" s="679"/>
    </row>
    <row r="272" spans="1:31" x14ac:dyDescent="0.25">
      <c r="A272" s="618">
        <f t="shared" si="14"/>
        <v>264</v>
      </c>
      <c r="B272" s="617">
        <f t="shared" si="12"/>
        <v>37980.25</v>
      </c>
      <c r="C272" s="617" t="s">
        <v>106</v>
      </c>
      <c r="D272" s="617">
        <f t="shared" si="13"/>
        <v>39240.25</v>
      </c>
      <c r="E272" s="619"/>
      <c r="F272" s="618"/>
      <c r="G272" s="620"/>
      <c r="H272" s="625"/>
      <c r="I272" s="619"/>
      <c r="J272" s="618"/>
      <c r="K272" s="618"/>
      <c r="L272" s="622"/>
      <c r="M272" s="619"/>
      <c r="N272" s="618"/>
      <c r="O272" s="618"/>
      <c r="P272" s="622"/>
      <c r="Q272" s="619">
        <f>Q256+1</f>
        <v>17</v>
      </c>
      <c r="R272" s="617">
        <f>38248-1218+56*Q272</f>
        <v>37982</v>
      </c>
      <c r="S272" s="620" t="s">
        <v>106</v>
      </c>
      <c r="T272" s="617">
        <f>38248+42+56*Q272</f>
        <v>39242</v>
      </c>
      <c r="U272" s="597"/>
      <c r="V272" s="705"/>
      <c r="W272" s="705"/>
      <c r="X272" s="705"/>
      <c r="Y272" s="605"/>
      <c r="Z272" s="597"/>
      <c r="AA272" s="705"/>
      <c r="AB272" s="705"/>
      <c r="AC272" s="705"/>
      <c r="AD272" s="605"/>
      <c r="AE272" s="791" t="s">
        <v>190</v>
      </c>
    </row>
    <row r="273" spans="1:31" x14ac:dyDescent="0.25">
      <c r="A273" s="618">
        <f t="shared" si="14"/>
        <v>265</v>
      </c>
      <c r="B273" s="617">
        <f t="shared" si="12"/>
        <v>37983.75</v>
      </c>
      <c r="C273" s="617" t="s">
        <v>106</v>
      </c>
      <c r="D273" s="617">
        <f t="shared" si="13"/>
        <v>39243.75</v>
      </c>
      <c r="E273" s="619">
        <f>E271+1</f>
        <v>133</v>
      </c>
      <c r="F273" s="617">
        <f>38248-1193.5+7*E273</f>
        <v>37985.5</v>
      </c>
      <c r="G273" s="620" t="s">
        <v>106</v>
      </c>
      <c r="H273" s="725">
        <f>38248+66.5+7*E273</f>
        <v>39245.5</v>
      </c>
      <c r="I273" s="619"/>
      <c r="J273" s="618"/>
      <c r="K273" s="618"/>
      <c r="L273" s="622"/>
      <c r="M273" s="619"/>
      <c r="N273" s="618"/>
      <c r="O273" s="618"/>
      <c r="P273" s="622"/>
      <c r="Q273" s="704"/>
      <c r="R273" s="624"/>
      <c r="S273" s="624"/>
      <c r="T273" s="622"/>
      <c r="U273" s="597"/>
      <c r="V273" s="705"/>
      <c r="W273" s="705"/>
      <c r="X273" s="705"/>
      <c r="Y273" s="605"/>
      <c r="Z273" s="597"/>
      <c r="AA273" s="705"/>
      <c r="AB273" s="705"/>
      <c r="AC273" s="705"/>
      <c r="AD273" s="605"/>
      <c r="AE273" s="679"/>
    </row>
    <row r="274" spans="1:31" x14ac:dyDescent="0.25">
      <c r="A274" s="618">
        <f t="shared" si="14"/>
        <v>266</v>
      </c>
      <c r="B274" s="617">
        <f t="shared" si="12"/>
        <v>37987.25</v>
      </c>
      <c r="C274" s="617" t="s">
        <v>106</v>
      </c>
      <c r="D274" s="617">
        <f t="shared" si="13"/>
        <v>39247.25</v>
      </c>
      <c r="E274" s="619"/>
      <c r="F274" s="618"/>
      <c r="G274" s="620"/>
      <c r="H274" s="625"/>
      <c r="I274" s="619">
        <f>I270+1</f>
        <v>67</v>
      </c>
      <c r="J274" s="617">
        <f>38248-1197+14*I274</f>
        <v>37989</v>
      </c>
      <c r="K274" s="620" t="s">
        <v>106</v>
      </c>
      <c r="L274" s="701">
        <f>38248+63+14*I274</f>
        <v>39249</v>
      </c>
      <c r="M274" s="619"/>
      <c r="N274" s="618"/>
      <c r="O274" s="618"/>
      <c r="P274" s="622"/>
      <c r="Q274" s="704"/>
      <c r="R274" s="624"/>
      <c r="S274" s="624"/>
      <c r="T274" s="622"/>
      <c r="U274" s="597"/>
      <c r="V274" s="705"/>
      <c r="W274" s="705"/>
      <c r="X274" s="705"/>
      <c r="Y274" s="605"/>
      <c r="Z274" s="597"/>
      <c r="AA274" s="705"/>
      <c r="AB274" s="705"/>
      <c r="AC274" s="705"/>
      <c r="AD274" s="605"/>
      <c r="AE274" s="706"/>
    </row>
    <row r="275" spans="1:31" x14ac:dyDescent="0.25">
      <c r="A275" s="618">
        <f t="shared" si="14"/>
        <v>267</v>
      </c>
      <c r="B275" s="617">
        <f t="shared" si="12"/>
        <v>37990.75</v>
      </c>
      <c r="C275" s="617" t="s">
        <v>106</v>
      </c>
      <c r="D275" s="617">
        <f t="shared" si="13"/>
        <v>39250.75</v>
      </c>
      <c r="E275" s="619">
        <f>E273+1</f>
        <v>134</v>
      </c>
      <c r="F275" s="617">
        <f>38248-1193.5+7*E275</f>
        <v>37992.5</v>
      </c>
      <c r="G275" s="620" t="s">
        <v>106</v>
      </c>
      <c r="H275" s="725">
        <f>38248+66.5+7*E275</f>
        <v>39252.5</v>
      </c>
      <c r="I275" s="619"/>
      <c r="J275" s="618"/>
      <c r="K275" s="620"/>
      <c r="L275" s="621"/>
      <c r="M275" s="619"/>
      <c r="N275" s="618"/>
      <c r="O275" s="618"/>
      <c r="P275" s="622"/>
      <c r="Q275" s="704"/>
      <c r="R275" s="647"/>
      <c r="S275" s="624"/>
      <c r="T275" s="648"/>
      <c r="U275" s="597"/>
      <c r="V275" s="705"/>
      <c r="W275" s="705"/>
      <c r="X275" s="705"/>
      <c r="Y275" s="605"/>
      <c r="Z275" s="597"/>
      <c r="AA275" s="705"/>
      <c r="AB275" s="705"/>
      <c r="AC275" s="705"/>
      <c r="AD275" s="605"/>
      <c r="AE275" s="614"/>
    </row>
    <row r="276" spans="1:31" x14ac:dyDescent="0.25">
      <c r="A276" s="618">
        <f t="shared" si="14"/>
        <v>268</v>
      </c>
      <c r="B276" s="617">
        <f t="shared" si="12"/>
        <v>37994.25</v>
      </c>
      <c r="C276" s="617" t="s">
        <v>106</v>
      </c>
      <c r="D276" s="617">
        <f t="shared" si="13"/>
        <v>39254.25</v>
      </c>
      <c r="E276" s="619"/>
      <c r="F276" s="618"/>
      <c r="G276" s="620"/>
      <c r="H276" s="625"/>
      <c r="I276" s="619"/>
      <c r="J276" s="618"/>
      <c r="K276" s="618"/>
      <c r="L276" s="622"/>
      <c r="M276" s="619">
        <f>M268+1</f>
        <v>34</v>
      </c>
      <c r="N276" s="617">
        <f>38248-1204+28*M276</f>
        <v>37996</v>
      </c>
      <c r="O276" s="620" t="s">
        <v>106</v>
      </c>
      <c r="P276" s="617">
        <f>38248+56+28*M276</f>
        <v>39256</v>
      </c>
      <c r="Q276" s="704"/>
      <c r="R276" s="624"/>
      <c r="S276" s="624"/>
      <c r="T276" s="622"/>
      <c r="U276" s="597"/>
      <c r="V276" s="705"/>
      <c r="W276" s="705"/>
      <c r="X276" s="705"/>
      <c r="Y276" s="605"/>
      <c r="Z276" s="597"/>
      <c r="AA276" s="705"/>
      <c r="AB276" s="705"/>
      <c r="AC276" s="705"/>
      <c r="AD276" s="605"/>
      <c r="AE276" s="614"/>
    </row>
    <row r="277" spans="1:31" x14ac:dyDescent="0.25">
      <c r="A277" s="618">
        <f t="shared" si="14"/>
        <v>269</v>
      </c>
      <c r="B277" s="617">
        <f t="shared" si="12"/>
        <v>37997.75</v>
      </c>
      <c r="C277" s="617" t="s">
        <v>106</v>
      </c>
      <c r="D277" s="617">
        <f t="shared" si="13"/>
        <v>39257.75</v>
      </c>
      <c r="E277" s="619">
        <f>E275+1</f>
        <v>135</v>
      </c>
      <c r="F277" s="617">
        <f>38248-1193.5+7*E277</f>
        <v>37999.5</v>
      </c>
      <c r="G277" s="620" t="s">
        <v>106</v>
      </c>
      <c r="H277" s="725">
        <f>38248+66.5+7*E277</f>
        <v>39259.5</v>
      </c>
      <c r="I277" s="619"/>
      <c r="J277" s="618"/>
      <c r="K277" s="618"/>
      <c r="L277" s="622"/>
      <c r="M277" s="619"/>
      <c r="N277" s="618"/>
      <c r="O277" s="618"/>
      <c r="P277" s="622"/>
      <c r="Q277" s="704"/>
      <c r="R277" s="624"/>
      <c r="S277" s="624"/>
      <c r="T277" s="622"/>
      <c r="U277" s="597"/>
      <c r="V277" s="705"/>
      <c r="W277" s="705"/>
      <c r="X277" s="705"/>
      <c r="Y277" s="605"/>
      <c r="Z277" s="597"/>
      <c r="AA277" s="705"/>
      <c r="AB277" s="705"/>
      <c r="AC277" s="705"/>
      <c r="AD277" s="605"/>
      <c r="AE277" s="614"/>
    </row>
    <row r="278" spans="1:31" x14ac:dyDescent="0.25">
      <c r="A278" s="618">
        <f t="shared" si="14"/>
        <v>270</v>
      </c>
      <c r="B278" s="617">
        <f t="shared" si="12"/>
        <v>38001.25</v>
      </c>
      <c r="C278" s="617" t="s">
        <v>106</v>
      </c>
      <c r="D278" s="617">
        <f t="shared" si="13"/>
        <v>39261.25</v>
      </c>
      <c r="E278" s="619"/>
      <c r="F278" s="618"/>
      <c r="G278" s="620"/>
      <c r="H278" s="625"/>
      <c r="I278" s="619">
        <f>I274+1</f>
        <v>68</v>
      </c>
      <c r="J278" s="617">
        <f>38248-1197+14*I278</f>
        <v>38003</v>
      </c>
      <c r="K278" s="620" t="s">
        <v>106</v>
      </c>
      <c r="L278" s="701">
        <f>38248+63+14*I278</f>
        <v>39263</v>
      </c>
      <c r="M278" s="619"/>
      <c r="N278" s="618"/>
      <c r="O278" s="618"/>
      <c r="P278" s="622"/>
      <c r="Q278" s="704"/>
      <c r="R278" s="647"/>
      <c r="S278" s="647"/>
      <c r="T278" s="648"/>
      <c r="U278" s="597"/>
      <c r="V278" s="705"/>
      <c r="W278" s="705"/>
      <c r="X278" s="705"/>
      <c r="Y278" s="605"/>
      <c r="Z278" s="597"/>
      <c r="AA278" s="705"/>
      <c r="AB278" s="705"/>
      <c r="AC278" s="705"/>
      <c r="AD278" s="605"/>
      <c r="AE278" s="614"/>
    </row>
    <row r="279" spans="1:31" x14ac:dyDescent="0.25">
      <c r="A279" s="618">
        <f t="shared" si="14"/>
        <v>271</v>
      </c>
      <c r="B279" s="617">
        <f t="shared" si="12"/>
        <v>38004.75</v>
      </c>
      <c r="C279" s="617" t="s">
        <v>106</v>
      </c>
      <c r="D279" s="617">
        <f t="shared" si="13"/>
        <v>39264.75</v>
      </c>
      <c r="E279" s="619">
        <f>E277+1</f>
        <v>136</v>
      </c>
      <c r="F279" s="617">
        <f>38248-1193.5+7*E279</f>
        <v>38006.5</v>
      </c>
      <c r="G279" s="620" t="s">
        <v>106</v>
      </c>
      <c r="H279" s="725">
        <f>38248+66.5+7*E279</f>
        <v>39266.5</v>
      </c>
      <c r="I279" s="619"/>
      <c r="J279" s="618"/>
      <c r="K279" s="620"/>
      <c r="L279" s="621"/>
      <c r="M279" s="619"/>
      <c r="N279" s="618"/>
      <c r="O279" s="618"/>
      <c r="P279" s="622"/>
      <c r="Q279" s="704"/>
      <c r="R279" s="624"/>
      <c r="S279" s="624"/>
      <c r="T279" s="622"/>
      <c r="U279" s="597"/>
      <c r="V279" s="705"/>
      <c r="W279" s="705"/>
      <c r="X279" s="705"/>
      <c r="Y279" s="605"/>
      <c r="Z279" s="597"/>
      <c r="AA279" s="705"/>
      <c r="AB279" s="705"/>
      <c r="AC279" s="705"/>
      <c r="AD279" s="605"/>
      <c r="AE279" s="614"/>
    </row>
    <row r="280" spans="1:31" ht="15.75" thickBot="1" x14ac:dyDescent="0.3">
      <c r="A280" s="643">
        <f t="shared" si="14"/>
        <v>272</v>
      </c>
      <c r="B280" s="673">
        <f t="shared" si="12"/>
        <v>38008.25</v>
      </c>
      <c r="C280" s="673" t="s">
        <v>106</v>
      </c>
      <c r="D280" s="673">
        <f t="shared" si="13"/>
        <v>39268.25</v>
      </c>
      <c r="E280" s="645"/>
      <c r="F280" s="643"/>
      <c r="G280" s="644"/>
      <c r="H280" s="726"/>
      <c r="I280" s="707"/>
      <c r="J280" s="708"/>
      <c r="K280" s="708"/>
      <c r="L280" s="709"/>
      <c r="M280" s="645"/>
      <c r="N280" s="643"/>
      <c r="O280" s="643"/>
      <c r="P280" s="648"/>
      <c r="Q280" s="710"/>
      <c r="R280" s="647"/>
      <c r="S280" s="647"/>
      <c r="T280" s="648"/>
      <c r="U280" s="645">
        <v>9</v>
      </c>
      <c r="V280" s="617">
        <f>38248-1246+112*U280</f>
        <v>38010</v>
      </c>
      <c r="W280" s="644" t="s">
        <v>106</v>
      </c>
      <c r="X280" s="617">
        <f>38248+14+112*U280</f>
        <v>39270</v>
      </c>
      <c r="Y280" s="674"/>
      <c r="Z280" s="645"/>
      <c r="AA280" s="617"/>
      <c r="AB280" s="644"/>
      <c r="AC280" s="617"/>
      <c r="AD280" s="674"/>
      <c r="AE280" s="711"/>
    </row>
    <row r="281" spans="1:31" ht="15.75" thickTop="1" x14ac:dyDescent="0.25">
      <c r="A281" s="721">
        <f t="shared" si="14"/>
        <v>273</v>
      </c>
      <c r="B281" s="655">
        <f t="shared" si="12"/>
        <v>38011.75</v>
      </c>
      <c r="C281" s="655" t="s">
        <v>106</v>
      </c>
      <c r="D281" s="655">
        <f t="shared" si="13"/>
        <v>39271.75</v>
      </c>
      <c r="E281" s="657">
        <f>E279+1</f>
        <v>137</v>
      </c>
      <c r="F281" s="655">
        <f>38248-1193.5+7*E281</f>
        <v>38013.5</v>
      </c>
      <c r="G281" s="722" t="s">
        <v>106</v>
      </c>
      <c r="H281" s="724">
        <f>38248+66.5+7*E281</f>
        <v>39273.5</v>
      </c>
      <c r="I281" s="657"/>
      <c r="J281" s="655"/>
      <c r="K281" s="655"/>
      <c r="L281" s="656"/>
      <c r="M281" s="657"/>
      <c r="N281" s="655"/>
      <c r="O281" s="655"/>
      <c r="P281" s="656"/>
      <c r="Q281" s="712"/>
      <c r="R281" s="660"/>
      <c r="S281" s="660"/>
      <c r="T281" s="656"/>
      <c r="U281" s="713"/>
      <c r="V281" s="714"/>
      <c r="W281" s="714"/>
      <c r="X281" s="714"/>
      <c r="Y281" s="715"/>
      <c r="Z281" s="713"/>
      <c r="AA281" s="714"/>
      <c r="AB281" s="714"/>
      <c r="AC281" s="714"/>
      <c r="AD281" s="715"/>
      <c r="AE281" s="716"/>
    </row>
    <row r="282" spans="1:31" x14ac:dyDescent="0.25">
      <c r="A282" s="618">
        <f t="shared" si="14"/>
        <v>274</v>
      </c>
      <c r="B282" s="617">
        <f t="shared" si="12"/>
        <v>38015.25</v>
      </c>
      <c r="C282" s="617" t="s">
        <v>106</v>
      </c>
      <c r="D282" s="617">
        <f t="shared" si="13"/>
        <v>39275.25</v>
      </c>
      <c r="E282" s="619"/>
      <c r="F282" s="618"/>
      <c r="G282" s="620"/>
      <c r="H282" s="625"/>
      <c r="I282" s="619">
        <f>I278+1</f>
        <v>69</v>
      </c>
      <c r="J282" s="617">
        <f>38248-1197+14*I282</f>
        <v>38017</v>
      </c>
      <c r="K282" s="620" t="s">
        <v>106</v>
      </c>
      <c r="L282" s="701">
        <f>38248+63+14*I282</f>
        <v>39277</v>
      </c>
      <c r="M282" s="619"/>
      <c r="N282" s="618"/>
      <c r="O282" s="618"/>
      <c r="P282" s="622"/>
      <c r="Q282" s="704"/>
      <c r="R282" s="624"/>
      <c r="S282" s="624"/>
      <c r="T282" s="622"/>
      <c r="U282" s="597"/>
      <c r="V282" s="705"/>
      <c r="W282" s="705"/>
      <c r="X282" s="705"/>
      <c r="Y282" s="605"/>
      <c r="Z282" s="597"/>
      <c r="AA282" s="705"/>
      <c r="AB282" s="705"/>
      <c r="AC282" s="705"/>
      <c r="AD282" s="605"/>
      <c r="AE282" s="614"/>
    </row>
    <row r="283" spans="1:31" x14ac:dyDescent="0.25">
      <c r="A283" s="618">
        <f t="shared" si="14"/>
        <v>275</v>
      </c>
      <c r="B283" s="617">
        <f t="shared" si="12"/>
        <v>38018.75</v>
      </c>
      <c r="C283" s="617" t="s">
        <v>106</v>
      </c>
      <c r="D283" s="617">
        <f t="shared" si="13"/>
        <v>39278.75</v>
      </c>
      <c r="E283" s="619">
        <f>E281+1</f>
        <v>138</v>
      </c>
      <c r="F283" s="617">
        <f>38248-1193.5+7*E283</f>
        <v>38020.5</v>
      </c>
      <c r="G283" s="620" t="s">
        <v>106</v>
      </c>
      <c r="H283" s="725">
        <f>38248+66.5+7*E283</f>
        <v>39280.5</v>
      </c>
      <c r="I283" s="619"/>
      <c r="J283" s="618"/>
      <c r="K283" s="620"/>
      <c r="L283" s="621"/>
      <c r="M283" s="619"/>
      <c r="N283" s="618"/>
      <c r="O283" s="618"/>
      <c r="P283" s="622"/>
      <c r="Q283" s="704"/>
      <c r="R283" s="624"/>
      <c r="S283" s="624"/>
      <c r="T283" s="622"/>
      <c r="U283" s="597"/>
      <c r="V283" s="705"/>
      <c r="W283" s="705"/>
      <c r="X283" s="705"/>
      <c r="Y283" s="605"/>
      <c r="Z283" s="597"/>
      <c r="AA283" s="705"/>
      <c r="AB283" s="705"/>
      <c r="AC283" s="705"/>
      <c r="AD283" s="605"/>
      <c r="AE283" s="614"/>
    </row>
    <row r="284" spans="1:31" x14ac:dyDescent="0.25">
      <c r="A284" s="618">
        <f t="shared" si="14"/>
        <v>276</v>
      </c>
      <c r="B284" s="617">
        <f t="shared" si="12"/>
        <v>38022.25</v>
      </c>
      <c r="C284" s="617" t="s">
        <v>106</v>
      </c>
      <c r="D284" s="617">
        <f t="shared" si="13"/>
        <v>39282.25</v>
      </c>
      <c r="E284" s="619"/>
      <c r="F284" s="618"/>
      <c r="G284" s="620"/>
      <c r="H284" s="625"/>
      <c r="I284" s="619"/>
      <c r="J284" s="618"/>
      <c r="K284" s="618"/>
      <c r="L284" s="622"/>
      <c r="M284" s="619">
        <f>M276+1</f>
        <v>35</v>
      </c>
      <c r="N284" s="617">
        <f>38248-1204+28*M284</f>
        <v>38024</v>
      </c>
      <c r="O284" s="620" t="s">
        <v>106</v>
      </c>
      <c r="P284" s="617">
        <f>38248+56+28*M284</f>
        <v>39284</v>
      </c>
      <c r="Q284" s="704"/>
      <c r="R284" s="618"/>
      <c r="S284" s="620"/>
      <c r="T284" s="621"/>
      <c r="U284" s="597"/>
      <c r="V284" s="705"/>
      <c r="W284" s="705"/>
      <c r="X284" s="705"/>
      <c r="Y284" s="605"/>
      <c r="Z284" s="597"/>
      <c r="AA284" s="705"/>
      <c r="AB284" s="705"/>
      <c r="AC284" s="705"/>
      <c r="AD284" s="605"/>
      <c r="AE284" s="614"/>
    </row>
    <row r="285" spans="1:31" x14ac:dyDescent="0.25">
      <c r="A285" s="618">
        <f t="shared" si="14"/>
        <v>277</v>
      </c>
      <c r="B285" s="617">
        <f t="shared" si="12"/>
        <v>38025.75</v>
      </c>
      <c r="C285" s="617" t="s">
        <v>106</v>
      </c>
      <c r="D285" s="617">
        <f t="shared" si="13"/>
        <v>39285.75</v>
      </c>
      <c r="E285" s="619">
        <f>E283+1</f>
        <v>139</v>
      </c>
      <c r="F285" s="617">
        <f>38248-1193.5+7*E285</f>
        <v>38027.5</v>
      </c>
      <c r="G285" s="620" t="s">
        <v>106</v>
      </c>
      <c r="H285" s="725">
        <f>38248+66.5+7*E285</f>
        <v>39287.5</v>
      </c>
      <c r="I285" s="619"/>
      <c r="J285" s="618"/>
      <c r="K285" s="618"/>
      <c r="L285" s="622"/>
      <c r="M285" s="619"/>
      <c r="N285" s="618"/>
      <c r="O285" s="618"/>
      <c r="P285" s="622"/>
      <c r="Q285" s="704"/>
      <c r="R285" s="624"/>
      <c r="S285" s="624"/>
      <c r="T285" s="622"/>
      <c r="U285" s="597"/>
      <c r="V285" s="705"/>
      <c r="W285" s="705"/>
      <c r="X285" s="705"/>
      <c r="Y285" s="605"/>
      <c r="Z285" s="597"/>
      <c r="AA285" s="705"/>
      <c r="AB285" s="705"/>
      <c r="AC285" s="705"/>
      <c r="AD285" s="605"/>
      <c r="AE285" s="614"/>
    </row>
    <row r="286" spans="1:31" x14ac:dyDescent="0.25">
      <c r="A286" s="618">
        <f t="shared" si="14"/>
        <v>278</v>
      </c>
      <c r="B286" s="617">
        <f t="shared" si="12"/>
        <v>38029.25</v>
      </c>
      <c r="C286" s="617" t="s">
        <v>106</v>
      </c>
      <c r="D286" s="617">
        <f t="shared" si="13"/>
        <v>39289.25</v>
      </c>
      <c r="E286" s="619"/>
      <c r="F286" s="618"/>
      <c r="G286" s="620"/>
      <c r="H286" s="625"/>
      <c r="I286" s="619">
        <f>I282+1</f>
        <v>70</v>
      </c>
      <c r="J286" s="617">
        <f>38248-1197+14*I286</f>
        <v>38031</v>
      </c>
      <c r="K286" s="620" t="s">
        <v>106</v>
      </c>
      <c r="L286" s="701">
        <f>38248+63+14*I286</f>
        <v>39291</v>
      </c>
      <c r="M286" s="619"/>
      <c r="N286" s="618"/>
      <c r="O286" s="618"/>
      <c r="P286" s="622"/>
      <c r="Q286" s="704"/>
      <c r="R286" s="624"/>
      <c r="S286" s="624"/>
      <c r="T286" s="622"/>
      <c r="U286" s="597"/>
      <c r="V286" s="705"/>
      <c r="W286" s="705"/>
      <c r="X286" s="705"/>
      <c r="Y286" s="605"/>
      <c r="Z286" s="597"/>
      <c r="AA286" s="705"/>
      <c r="AB286" s="705"/>
      <c r="AC286" s="705"/>
      <c r="AD286" s="605"/>
      <c r="AE286" s="614"/>
    </row>
    <row r="287" spans="1:31" x14ac:dyDescent="0.25">
      <c r="A287" s="618">
        <f t="shared" si="14"/>
        <v>279</v>
      </c>
      <c r="B287" s="617">
        <f t="shared" si="12"/>
        <v>38032.75</v>
      </c>
      <c r="C287" s="617" t="s">
        <v>106</v>
      </c>
      <c r="D287" s="617">
        <f t="shared" si="13"/>
        <v>39292.75</v>
      </c>
      <c r="E287" s="619">
        <f>E285+1</f>
        <v>140</v>
      </c>
      <c r="F287" s="617">
        <f>38248-1193.5+7*E287</f>
        <v>38034.5</v>
      </c>
      <c r="G287" s="620" t="s">
        <v>106</v>
      </c>
      <c r="H287" s="725">
        <f>38248+66.5+7*E287</f>
        <v>39294.5</v>
      </c>
      <c r="I287" s="619"/>
      <c r="J287" s="618"/>
      <c r="K287" s="620"/>
      <c r="L287" s="621"/>
      <c r="M287" s="619"/>
      <c r="N287" s="618"/>
      <c r="O287" s="618"/>
      <c r="P287" s="622"/>
      <c r="Q287" s="704"/>
      <c r="R287" s="624"/>
      <c r="S287" s="624"/>
      <c r="T287" s="622"/>
      <c r="U287" s="597"/>
      <c r="V287" s="705"/>
      <c r="W287" s="705"/>
      <c r="X287" s="705"/>
      <c r="Y287" s="605"/>
      <c r="Z287" s="597"/>
      <c r="AA287" s="705"/>
      <c r="AB287" s="705"/>
      <c r="AC287" s="705"/>
      <c r="AD287" s="605"/>
      <c r="AE287" s="679"/>
    </row>
    <row r="288" spans="1:31" x14ac:dyDescent="0.25">
      <c r="A288" s="618">
        <f t="shared" si="14"/>
        <v>280</v>
      </c>
      <c r="B288" s="617">
        <f t="shared" si="12"/>
        <v>38036.25</v>
      </c>
      <c r="C288" s="617" t="s">
        <v>106</v>
      </c>
      <c r="D288" s="617">
        <f t="shared" si="13"/>
        <v>39296.25</v>
      </c>
      <c r="E288" s="619"/>
      <c r="F288" s="618"/>
      <c r="G288" s="620"/>
      <c r="H288" s="625"/>
      <c r="I288" s="619"/>
      <c r="J288" s="618"/>
      <c r="K288" s="618"/>
      <c r="L288" s="622"/>
      <c r="M288" s="619"/>
      <c r="N288" s="618"/>
      <c r="O288" s="618"/>
      <c r="P288" s="622"/>
      <c r="Q288" s="619">
        <f>Q272+1</f>
        <v>18</v>
      </c>
      <c r="R288" s="617">
        <f>38248-1218+56*Q288</f>
        <v>38038</v>
      </c>
      <c r="S288" s="620" t="s">
        <v>106</v>
      </c>
      <c r="T288" s="617">
        <f>38248+42+56*Q288</f>
        <v>39298</v>
      </c>
      <c r="U288" s="597"/>
      <c r="V288" s="705"/>
      <c r="W288" s="705"/>
      <c r="X288" s="705"/>
      <c r="Y288" s="605"/>
      <c r="Z288" s="597"/>
      <c r="AA288" s="705"/>
      <c r="AB288" s="705"/>
      <c r="AC288" s="705"/>
      <c r="AD288" s="605"/>
      <c r="AE288" s="698"/>
    </row>
    <row r="289" spans="1:31" x14ac:dyDescent="0.25">
      <c r="A289" s="618">
        <f t="shared" si="14"/>
        <v>281</v>
      </c>
      <c r="B289" s="617">
        <f t="shared" si="12"/>
        <v>38039.75</v>
      </c>
      <c r="C289" s="617" t="s">
        <v>106</v>
      </c>
      <c r="D289" s="617">
        <f t="shared" si="13"/>
        <v>39299.75</v>
      </c>
      <c r="E289" s="619">
        <f>E287+1</f>
        <v>141</v>
      </c>
      <c r="F289" s="617">
        <f>38248-1193.5+7*E289</f>
        <v>38041.5</v>
      </c>
      <c r="G289" s="620" t="s">
        <v>106</v>
      </c>
      <c r="H289" s="725">
        <f>38248+66.5+7*E289</f>
        <v>39301.5</v>
      </c>
      <c r="I289" s="619"/>
      <c r="J289" s="618"/>
      <c r="K289" s="618"/>
      <c r="L289" s="622"/>
      <c r="M289" s="619"/>
      <c r="N289" s="618"/>
      <c r="O289" s="618"/>
      <c r="P289" s="622"/>
      <c r="Q289" s="704"/>
      <c r="R289" s="624"/>
      <c r="S289" s="624"/>
      <c r="T289" s="622"/>
      <c r="U289" s="597"/>
      <c r="V289" s="705"/>
      <c r="W289" s="705"/>
      <c r="X289" s="705"/>
      <c r="Y289" s="605"/>
      <c r="Z289" s="597"/>
      <c r="AA289" s="705"/>
      <c r="AB289" s="705"/>
      <c r="AC289" s="705"/>
      <c r="AD289" s="605"/>
      <c r="AE289" s="679"/>
    </row>
    <row r="290" spans="1:31" x14ac:dyDescent="0.25">
      <c r="A290" s="618">
        <f t="shared" si="14"/>
        <v>282</v>
      </c>
      <c r="B290" s="617">
        <f t="shared" si="12"/>
        <v>38043.25</v>
      </c>
      <c r="C290" s="617" t="s">
        <v>106</v>
      </c>
      <c r="D290" s="617">
        <f t="shared" si="13"/>
        <v>39303.25</v>
      </c>
      <c r="E290" s="619"/>
      <c r="F290" s="618"/>
      <c r="G290" s="620"/>
      <c r="H290" s="625"/>
      <c r="I290" s="619">
        <f>I286+1</f>
        <v>71</v>
      </c>
      <c r="J290" s="617">
        <f>38248-1197+14*I290</f>
        <v>38045</v>
      </c>
      <c r="K290" s="620" t="s">
        <v>106</v>
      </c>
      <c r="L290" s="701">
        <f>38248+63+14*I290</f>
        <v>39305</v>
      </c>
      <c r="M290" s="619"/>
      <c r="N290" s="618"/>
      <c r="O290" s="618"/>
      <c r="P290" s="622"/>
      <c r="Q290" s="704"/>
      <c r="R290" s="624"/>
      <c r="S290" s="624"/>
      <c r="T290" s="622"/>
      <c r="U290" s="597"/>
      <c r="V290" s="705"/>
      <c r="W290" s="705"/>
      <c r="X290" s="705"/>
      <c r="Y290" s="605"/>
      <c r="Z290" s="597"/>
      <c r="AA290" s="705"/>
      <c r="AB290" s="705"/>
      <c r="AC290" s="705"/>
      <c r="AD290" s="605"/>
      <c r="AE290" s="706"/>
    </row>
    <row r="291" spans="1:31" x14ac:dyDescent="0.25">
      <c r="A291" s="618">
        <f t="shared" si="14"/>
        <v>283</v>
      </c>
      <c r="B291" s="617">
        <f t="shared" si="12"/>
        <v>38046.75</v>
      </c>
      <c r="C291" s="617" t="s">
        <v>106</v>
      </c>
      <c r="D291" s="617">
        <f t="shared" si="13"/>
        <v>39306.75</v>
      </c>
      <c r="E291" s="619">
        <f>E289+1</f>
        <v>142</v>
      </c>
      <c r="F291" s="617">
        <f>38248-1193.5+7*E291</f>
        <v>38048.5</v>
      </c>
      <c r="G291" s="620" t="s">
        <v>106</v>
      </c>
      <c r="H291" s="725">
        <f>38248+66.5+7*E291</f>
        <v>39308.5</v>
      </c>
      <c r="I291" s="619"/>
      <c r="J291" s="618"/>
      <c r="K291" s="620"/>
      <c r="L291" s="621"/>
      <c r="M291" s="619"/>
      <c r="N291" s="618"/>
      <c r="O291" s="618"/>
      <c r="P291" s="622"/>
      <c r="Q291" s="704"/>
      <c r="R291" s="647"/>
      <c r="S291" s="624"/>
      <c r="T291" s="648"/>
      <c r="U291" s="597"/>
      <c r="V291" s="705"/>
      <c r="W291" s="705"/>
      <c r="X291" s="705"/>
      <c r="Y291" s="605"/>
      <c r="Z291" s="597"/>
      <c r="AA291" s="705"/>
      <c r="AB291" s="705"/>
      <c r="AC291" s="705"/>
      <c r="AD291" s="605"/>
      <c r="AE291" s="614"/>
    </row>
    <row r="292" spans="1:31" x14ac:dyDescent="0.25">
      <c r="A292" s="618">
        <f t="shared" si="14"/>
        <v>284</v>
      </c>
      <c r="B292" s="617">
        <f t="shared" si="12"/>
        <v>38050.25</v>
      </c>
      <c r="C292" s="617" t="s">
        <v>106</v>
      </c>
      <c r="D292" s="617">
        <f t="shared" si="13"/>
        <v>39310.25</v>
      </c>
      <c r="E292" s="619"/>
      <c r="F292" s="618"/>
      <c r="G292" s="620"/>
      <c r="H292" s="625"/>
      <c r="I292" s="619"/>
      <c r="J292" s="618"/>
      <c r="K292" s="618"/>
      <c r="L292" s="622"/>
      <c r="M292" s="619">
        <f>M284+1</f>
        <v>36</v>
      </c>
      <c r="N292" s="617">
        <f>38248-1204+28*M292</f>
        <v>38052</v>
      </c>
      <c r="O292" s="620" t="s">
        <v>106</v>
      </c>
      <c r="P292" s="617">
        <f>38248+56+28*M292</f>
        <v>39312</v>
      </c>
      <c r="Q292" s="704"/>
      <c r="R292" s="624"/>
      <c r="S292" s="624"/>
      <c r="T292" s="622"/>
      <c r="U292" s="597"/>
      <c r="V292" s="705"/>
      <c r="W292" s="705"/>
      <c r="X292" s="705"/>
      <c r="Y292" s="605"/>
      <c r="Z292" s="597"/>
      <c r="AA292" s="705"/>
      <c r="AB292" s="705"/>
      <c r="AC292" s="705"/>
      <c r="AD292" s="605"/>
      <c r="AE292" s="614"/>
    </row>
    <row r="293" spans="1:31" x14ac:dyDescent="0.25">
      <c r="A293" s="618">
        <f t="shared" si="14"/>
        <v>285</v>
      </c>
      <c r="B293" s="617">
        <f t="shared" si="12"/>
        <v>38053.75</v>
      </c>
      <c r="C293" s="617" t="s">
        <v>106</v>
      </c>
      <c r="D293" s="617">
        <f t="shared" si="13"/>
        <v>39313.75</v>
      </c>
      <c r="E293" s="619">
        <f>E291+1</f>
        <v>143</v>
      </c>
      <c r="F293" s="617">
        <f>38248-1193.5+7*E293</f>
        <v>38055.5</v>
      </c>
      <c r="G293" s="620" t="s">
        <v>106</v>
      </c>
      <c r="H293" s="725">
        <f>38248+66.5+7*E293</f>
        <v>39315.5</v>
      </c>
      <c r="I293" s="619"/>
      <c r="J293" s="618"/>
      <c r="K293" s="618"/>
      <c r="L293" s="622"/>
      <c r="M293" s="619"/>
      <c r="N293" s="618"/>
      <c r="O293" s="618"/>
      <c r="P293" s="622"/>
      <c r="Q293" s="704"/>
      <c r="R293" s="624"/>
      <c r="S293" s="624"/>
      <c r="T293" s="622"/>
      <c r="U293" s="597"/>
      <c r="V293" s="705"/>
      <c r="W293" s="705"/>
      <c r="X293" s="705"/>
      <c r="Y293" s="605"/>
      <c r="Z293" s="597"/>
      <c r="AA293" s="705"/>
      <c r="AB293" s="705"/>
      <c r="AC293" s="705"/>
      <c r="AD293" s="605"/>
      <c r="AE293" s="614"/>
    </row>
    <row r="294" spans="1:31" x14ac:dyDescent="0.25">
      <c r="A294" s="618">
        <f t="shared" si="14"/>
        <v>286</v>
      </c>
      <c r="B294" s="617">
        <f t="shared" si="12"/>
        <v>38057.25</v>
      </c>
      <c r="C294" s="617" t="s">
        <v>106</v>
      </c>
      <c r="D294" s="617">
        <f t="shared" si="13"/>
        <v>39317.25</v>
      </c>
      <c r="E294" s="619"/>
      <c r="F294" s="618"/>
      <c r="G294" s="620"/>
      <c r="H294" s="625"/>
      <c r="I294" s="619">
        <f>I290+1</f>
        <v>72</v>
      </c>
      <c r="J294" s="617">
        <f>38248-1197+14*I294</f>
        <v>38059</v>
      </c>
      <c r="K294" s="620" t="s">
        <v>106</v>
      </c>
      <c r="L294" s="701">
        <f>38248+63+14*I294</f>
        <v>39319</v>
      </c>
      <c r="M294" s="619"/>
      <c r="N294" s="618"/>
      <c r="O294" s="618"/>
      <c r="P294" s="622"/>
      <c r="Q294" s="704"/>
      <c r="R294" s="647"/>
      <c r="S294" s="647"/>
      <c r="T294" s="648"/>
      <c r="U294" s="597"/>
      <c r="V294" s="705"/>
      <c r="W294" s="705"/>
      <c r="X294" s="705"/>
      <c r="Y294" s="605"/>
      <c r="Z294" s="597"/>
      <c r="AA294" s="705"/>
      <c r="AB294" s="705"/>
      <c r="AC294" s="705"/>
      <c r="AD294" s="605"/>
      <c r="AE294" s="614"/>
    </row>
    <row r="295" spans="1:31" x14ac:dyDescent="0.25">
      <c r="A295" s="618">
        <f t="shared" si="14"/>
        <v>287</v>
      </c>
      <c r="B295" s="617">
        <f t="shared" si="12"/>
        <v>38060.75</v>
      </c>
      <c r="C295" s="617" t="s">
        <v>106</v>
      </c>
      <c r="D295" s="617">
        <f t="shared" si="13"/>
        <v>39320.75</v>
      </c>
      <c r="E295" s="619">
        <f>E293+1</f>
        <v>144</v>
      </c>
      <c r="F295" s="617">
        <f>38248-1193.5+7*E295</f>
        <v>38062.5</v>
      </c>
      <c r="G295" s="620" t="s">
        <v>106</v>
      </c>
      <c r="H295" s="725">
        <f>38248+66.5+7*E295</f>
        <v>39322.5</v>
      </c>
      <c r="I295" s="619"/>
      <c r="J295" s="618"/>
      <c r="K295" s="620"/>
      <c r="L295" s="621"/>
      <c r="M295" s="619"/>
      <c r="N295" s="618"/>
      <c r="O295" s="618"/>
      <c r="P295" s="622"/>
      <c r="Q295" s="704"/>
      <c r="R295" s="624"/>
      <c r="S295" s="624"/>
      <c r="T295" s="622"/>
      <c r="U295" s="597"/>
      <c r="V295" s="705"/>
      <c r="W295" s="705"/>
      <c r="X295" s="705"/>
      <c r="Y295" s="605"/>
      <c r="Z295" s="597"/>
      <c r="AA295" s="705"/>
      <c r="AB295" s="705"/>
      <c r="AC295" s="705"/>
      <c r="AD295" s="605"/>
      <c r="AE295" s="614"/>
    </row>
    <row r="296" spans="1:31" ht="15.75" thickBot="1" x14ac:dyDescent="0.3">
      <c r="A296" s="643">
        <f t="shared" si="14"/>
        <v>288</v>
      </c>
      <c r="B296" s="673">
        <f t="shared" si="12"/>
        <v>38064.25</v>
      </c>
      <c r="C296" s="673" t="s">
        <v>106</v>
      </c>
      <c r="D296" s="673">
        <f t="shared" si="13"/>
        <v>39324.25</v>
      </c>
      <c r="E296" s="645"/>
      <c r="F296" s="643"/>
      <c r="G296" s="644"/>
      <c r="H296" s="726"/>
      <c r="I296" s="707"/>
      <c r="J296" s="708"/>
      <c r="K296" s="708"/>
      <c r="L296" s="709"/>
      <c r="M296" s="645"/>
      <c r="N296" s="643"/>
      <c r="O296" s="643"/>
      <c r="P296" s="648"/>
      <c r="Q296" s="710"/>
      <c r="R296" s="647"/>
      <c r="S296" s="647"/>
      <c r="T296" s="648"/>
      <c r="U296" s="609"/>
      <c r="V296" s="717"/>
      <c r="W296" s="717"/>
      <c r="X296" s="717"/>
      <c r="Y296" s="611"/>
      <c r="Z296" s="609">
        <v>9</v>
      </c>
      <c r="AA296" s="624">
        <f>38248-1190+112*Z296</f>
        <v>38066</v>
      </c>
      <c r="AB296" s="624"/>
      <c r="AC296" s="624">
        <f>38248+70+112*Z296</f>
        <v>39326</v>
      </c>
      <c r="AD296" s="611"/>
      <c r="AE296" s="711"/>
    </row>
    <row r="297" spans="1:31" ht="15.75" thickTop="1" x14ac:dyDescent="0.25">
      <c r="A297" s="721">
        <f t="shared" si="14"/>
        <v>289</v>
      </c>
      <c r="B297" s="655">
        <f t="shared" si="12"/>
        <v>38067.75</v>
      </c>
      <c r="C297" s="655" t="s">
        <v>106</v>
      </c>
      <c r="D297" s="655">
        <f t="shared" si="13"/>
        <v>39327.75</v>
      </c>
      <c r="E297" s="657">
        <f>E295+1</f>
        <v>145</v>
      </c>
      <c r="F297" s="655">
        <f>38248-1193.5+7*E297</f>
        <v>38069.5</v>
      </c>
      <c r="G297" s="722" t="s">
        <v>106</v>
      </c>
      <c r="H297" s="724">
        <f>38248+66.5+7*E297</f>
        <v>39329.5</v>
      </c>
      <c r="I297" s="657"/>
      <c r="J297" s="655"/>
      <c r="K297" s="655"/>
      <c r="L297" s="656"/>
      <c r="M297" s="657"/>
      <c r="N297" s="655"/>
      <c r="O297" s="655"/>
      <c r="P297" s="656"/>
      <c r="Q297" s="712"/>
      <c r="R297" s="660"/>
      <c r="S297" s="660"/>
      <c r="T297" s="656"/>
      <c r="U297" s="713"/>
      <c r="V297" s="714"/>
      <c r="W297" s="714"/>
      <c r="X297" s="714"/>
      <c r="Y297" s="715"/>
      <c r="Z297" s="713"/>
      <c r="AA297" s="714"/>
      <c r="AB297" s="714"/>
      <c r="AC297" s="714"/>
      <c r="AD297" s="715"/>
      <c r="AE297" s="716"/>
    </row>
    <row r="298" spans="1:31" x14ac:dyDescent="0.25">
      <c r="A298" s="618">
        <f t="shared" si="14"/>
        <v>290</v>
      </c>
      <c r="B298" s="617">
        <f t="shared" si="12"/>
        <v>38071.25</v>
      </c>
      <c r="C298" s="617" t="s">
        <v>106</v>
      </c>
      <c r="D298" s="617">
        <f t="shared" si="13"/>
        <v>39331.25</v>
      </c>
      <c r="E298" s="619"/>
      <c r="F298" s="618"/>
      <c r="G298" s="620"/>
      <c r="H298" s="625"/>
      <c r="I298" s="619">
        <f>I294+1</f>
        <v>73</v>
      </c>
      <c r="J298" s="617">
        <f>38248-1197+14*I298</f>
        <v>38073</v>
      </c>
      <c r="K298" s="620" t="s">
        <v>106</v>
      </c>
      <c r="L298" s="701">
        <f>38248+63+14*I298</f>
        <v>39333</v>
      </c>
      <c r="M298" s="619"/>
      <c r="N298" s="618"/>
      <c r="O298" s="618"/>
      <c r="P298" s="622"/>
      <c r="Q298" s="704"/>
      <c r="R298" s="624"/>
      <c r="S298" s="624"/>
      <c r="T298" s="622"/>
      <c r="U298" s="597"/>
      <c r="V298" s="705"/>
      <c r="W298" s="705"/>
      <c r="X298" s="705"/>
      <c r="Y298" s="605"/>
      <c r="Z298" s="597"/>
      <c r="AA298" s="705"/>
      <c r="AB298" s="705"/>
      <c r="AC298" s="705"/>
      <c r="AD298" s="605"/>
      <c r="AE298" s="614"/>
    </row>
    <row r="299" spans="1:31" x14ac:dyDescent="0.25">
      <c r="A299" s="618">
        <f t="shared" si="14"/>
        <v>291</v>
      </c>
      <c r="B299" s="617">
        <f t="shared" si="12"/>
        <v>38074.75</v>
      </c>
      <c r="C299" s="617" t="s">
        <v>106</v>
      </c>
      <c r="D299" s="617">
        <f t="shared" si="13"/>
        <v>39334.75</v>
      </c>
      <c r="E299" s="619">
        <f>E297+1</f>
        <v>146</v>
      </c>
      <c r="F299" s="617">
        <f>38248-1193.5+7*E299</f>
        <v>38076.5</v>
      </c>
      <c r="G299" s="620" t="s">
        <v>106</v>
      </c>
      <c r="H299" s="725">
        <f>38248+66.5+7*E299</f>
        <v>39336.5</v>
      </c>
      <c r="I299" s="619"/>
      <c r="J299" s="618"/>
      <c r="K299" s="620"/>
      <c r="L299" s="621"/>
      <c r="M299" s="619"/>
      <c r="N299" s="618"/>
      <c r="O299" s="618"/>
      <c r="P299" s="622"/>
      <c r="Q299" s="704"/>
      <c r="R299" s="624"/>
      <c r="S299" s="624"/>
      <c r="T299" s="622"/>
      <c r="U299" s="597"/>
      <c r="V299" s="705"/>
      <c r="W299" s="705"/>
      <c r="X299" s="705"/>
      <c r="Y299" s="605"/>
      <c r="Z299" s="597"/>
      <c r="AA299" s="705"/>
      <c r="AB299" s="705"/>
      <c r="AC299" s="705"/>
      <c r="AD299" s="605"/>
      <c r="AE299" s="614"/>
    </row>
    <row r="300" spans="1:31" x14ac:dyDescent="0.25">
      <c r="A300" s="618">
        <f t="shared" si="14"/>
        <v>292</v>
      </c>
      <c r="B300" s="617">
        <f t="shared" si="12"/>
        <v>38078.25</v>
      </c>
      <c r="C300" s="617" t="s">
        <v>106</v>
      </c>
      <c r="D300" s="617">
        <f t="shared" si="13"/>
        <v>39338.25</v>
      </c>
      <c r="E300" s="619"/>
      <c r="F300" s="618"/>
      <c r="G300" s="620"/>
      <c r="H300" s="625"/>
      <c r="I300" s="619"/>
      <c r="J300" s="618"/>
      <c r="K300" s="618"/>
      <c r="L300" s="622"/>
      <c r="M300" s="619">
        <f>M292+1</f>
        <v>37</v>
      </c>
      <c r="N300" s="617">
        <f>38248-1204+28*M300</f>
        <v>38080</v>
      </c>
      <c r="O300" s="620" t="s">
        <v>106</v>
      </c>
      <c r="P300" s="617">
        <f>38248+56+28*M300</f>
        <v>39340</v>
      </c>
      <c r="Q300" s="704"/>
      <c r="R300" s="618"/>
      <c r="S300" s="620"/>
      <c r="T300" s="621"/>
      <c r="U300" s="597"/>
      <c r="V300" s="705"/>
      <c r="W300" s="705"/>
      <c r="X300" s="705"/>
      <c r="Y300" s="605"/>
      <c r="Z300" s="597"/>
      <c r="AA300" s="705"/>
      <c r="AB300" s="705"/>
      <c r="AC300" s="705"/>
      <c r="AD300" s="605"/>
      <c r="AE300" s="614"/>
    </row>
    <row r="301" spans="1:31" x14ac:dyDescent="0.25">
      <c r="A301" s="618">
        <f t="shared" si="14"/>
        <v>293</v>
      </c>
      <c r="B301" s="617">
        <f t="shared" si="12"/>
        <v>38081.75</v>
      </c>
      <c r="C301" s="617" t="s">
        <v>106</v>
      </c>
      <c r="D301" s="617">
        <f t="shared" si="13"/>
        <v>39341.75</v>
      </c>
      <c r="E301" s="619">
        <f>E299+1</f>
        <v>147</v>
      </c>
      <c r="F301" s="617">
        <f>38248-1193.5+7*E301</f>
        <v>38083.5</v>
      </c>
      <c r="G301" s="620" t="s">
        <v>106</v>
      </c>
      <c r="H301" s="725">
        <f>38248+66.5+7*E301</f>
        <v>39343.5</v>
      </c>
      <c r="I301" s="619"/>
      <c r="J301" s="618"/>
      <c r="K301" s="618"/>
      <c r="L301" s="622"/>
      <c r="M301" s="619"/>
      <c r="N301" s="618"/>
      <c r="O301" s="618"/>
      <c r="P301" s="622"/>
      <c r="Q301" s="704"/>
      <c r="R301" s="624"/>
      <c r="S301" s="624"/>
      <c r="T301" s="622"/>
      <c r="U301" s="597"/>
      <c r="V301" s="705"/>
      <c r="W301" s="705"/>
      <c r="X301" s="705"/>
      <c r="Y301" s="605"/>
      <c r="Z301" s="597"/>
      <c r="AA301" s="705"/>
      <c r="AB301" s="705"/>
      <c r="AC301" s="705"/>
      <c r="AD301" s="605"/>
      <c r="AE301" s="614"/>
    </row>
    <row r="302" spans="1:31" x14ac:dyDescent="0.25">
      <c r="A302" s="618">
        <f t="shared" si="14"/>
        <v>294</v>
      </c>
      <c r="B302" s="617">
        <f t="shared" si="12"/>
        <v>38085.25</v>
      </c>
      <c r="C302" s="617" t="s">
        <v>106</v>
      </c>
      <c r="D302" s="617">
        <f t="shared" si="13"/>
        <v>39345.25</v>
      </c>
      <c r="E302" s="619"/>
      <c r="F302" s="618"/>
      <c r="G302" s="620"/>
      <c r="H302" s="625"/>
      <c r="I302" s="619">
        <f>I298+1</f>
        <v>74</v>
      </c>
      <c r="J302" s="617">
        <f>38248-1197+14*I302</f>
        <v>38087</v>
      </c>
      <c r="K302" s="620" t="s">
        <v>106</v>
      </c>
      <c r="L302" s="701">
        <f>38248+63+14*I302</f>
        <v>39347</v>
      </c>
      <c r="M302" s="619"/>
      <c r="N302" s="618"/>
      <c r="O302" s="618"/>
      <c r="P302" s="622"/>
      <c r="Q302" s="704"/>
      <c r="R302" s="624"/>
      <c r="S302" s="624"/>
      <c r="T302" s="622"/>
      <c r="U302" s="597"/>
      <c r="V302" s="705"/>
      <c r="W302" s="705"/>
      <c r="X302" s="705"/>
      <c r="Y302" s="605"/>
      <c r="Z302" s="597"/>
      <c r="AA302" s="705"/>
      <c r="AB302" s="705"/>
      <c r="AC302" s="705"/>
      <c r="AD302" s="605"/>
      <c r="AE302" s="614"/>
    </row>
    <row r="303" spans="1:31" x14ac:dyDescent="0.25">
      <c r="A303" s="618">
        <f t="shared" si="14"/>
        <v>295</v>
      </c>
      <c r="B303" s="617">
        <f t="shared" si="12"/>
        <v>38088.75</v>
      </c>
      <c r="C303" s="617" t="s">
        <v>106</v>
      </c>
      <c r="D303" s="617">
        <f t="shared" si="13"/>
        <v>39348.75</v>
      </c>
      <c r="E303" s="619">
        <f>E301+1</f>
        <v>148</v>
      </c>
      <c r="F303" s="617">
        <f>38248-1193.5+7*E303</f>
        <v>38090.5</v>
      </c>
      <c r="G303" s="620" t="s">
        <v>106</v>
      </c>
      <c r="H303" s="725">
        <f>38248+66.5+7*E303</f>
        <v>39350.5</v>
      </c>
      <c r="I303" s="619"/>
      <c r="J303" s="618"/>
      <c r="K303" s="620"/>
      <c r="L303" s="621"/>
      <c r="M303" s="619"/>
      <c r="N303" s="618"/>
      <c r="O303" s="618"/>
      <c r="P303" s="622"/>
      <c r="Q303" s="704"/>
      <c r="R303" s="624"/>
      <c r="S303" s="624"/>
      <c r="T303" s="622"/>
      <c r="U303" s="597"/>
      <c r="V303" s="705"/>
      <c r="W303" s="705"/>
      <c r="X303" s="705"/>
      <c r="Y303" s="605"/>
      <c r="Z303" s="597"/>
      <c r="AA303" s="705"/>
      <c r="AB303" s="705"/>
      <c r="AC303" s="705"/>
      <c r="AD303" s="605"/>
      <c r="AE303" s="614"/>
    </row>
    <row r="304" spans="1:31" x14ac:dyDescent="0.25">
      <c r="A304" s="618">
        <f t="shared" si="14"/>
        <v>296</v>
      </c>
      <c r="B304" s="617">
        <f t="shared" si="12"/>
        <v>38092.25</v>
      </c>
      <c r="C304" s="617" t="s">
        <v>106</v>
      </c>
      <c r="D304" s="617">
        <f t="shared" si="13"/>
        <v>39352.25</v>
      </c>
      <c r="E304" s="619"/>
      <c r="F304" s="618"/>
      <c r="G304" s="620"/>
      <c r="H304" s="625"/>
      <c r="I304" s="619"/>
      <c r="J304" s="618"/>
      <c r="K304" s="618"/>
      <c r="L304" s="622"/>
      <c r="M304" s="619"/>
      <c r="N304" s="618"/>
      <c r="O304" s="618"/>
      <c r="P304" s="622"/>
      <c r="Q304" s="619">
        <f>Q288+1</f>
        <v>19</v>
      </c>
      <c r="R304" s="617">
        <f>38248-1218+56*Q304</f>
        <v>38094</v>
      </c>
      <c r="S304" s="620" t="s">
        <v>106</v>
      </c>
      <c r="T304" s="617">
        <f>38248+42+56*Q304</f>
        <v>39354</v>
      </c>
      <c r="U304" s="597"/>
      <c r="V304" s="705"/>
      <c r="W304" s="705"/>
      <c r="X304" s="705"/>
      <c r="Y304" s="605"/>
      <c r="Z304" s="597"/>
      <c r="AA304" s="705"/>
      <c r="AB304" s="705"/>
      <c r="AC304" s="705"/>
      <c r="AD304" s="605"/>
      <c r="AE304" s="636"/>
    </row>
    <row r="305" spans="1:31" x14ac:dyDescent="0.25">
      <c r="A305" s="618">
        <f t="shared" si="14"/>
        <v>297</v>
      </c>
      <c r="B305" s="617">
        <f t="shared" si="12"/>
        <v>38095.75</v>
      </c>
      <c r="C305" s="617" t="s">
        <v>106</v>
      </c>
      <c r="D305" s="617">
        <f t="shared" si="13"/>
        <v>39355.75</v>
      </c>
      <c r="E305" s="619">
        <f>E303+1</f>
        <v>149</v>
      </c>
      <c r="F305" s="617">
        <f>38248-1193.5+7*E305</f>
        <v>38097.5</v>
      </c>
      <c r="G305" s="620" t="s">
        <v>106</v>
      </c>
      <c r="H305" s="725">
        <f>38248+66.5+7*E305</f>
        <v>39357.5</v>
      </c>
      <c r="I305" s="619"/>
      <c r="J305" s="618"/>
      <c r="K305" s="618"/>
      <c r="L305" s="622"/>
      <c r="M305" s="619"/>
      <c r="N305" s="618"/>
      <c r="O305" s="618"/>
      <c r="P305" s="622"/>
      <c r="Q305" s="704"/>
      <c r="R305" s="624"/>
      <c r="S305" s="624"/>
      <c r="T305" s="622"/>
      <c r="U305" s="597"/>
      <c r="V305" s="705"/>
      <c r="W305" s="705"/>
      <c r="X305" s="705"/>
      <c r="Y305" s="605"/>
      <c r="Z305" s="597"/>
      <c r="AA305" s="705"/>
      <c r="AB305" s="705"/>
      <c r="AC305" s="705"/>
      <c r="AD305" s="605"/>
      <c r="AE305" s="698"/>
    </row>
    <row r="306" spans="1:31" x14ac:dyDescent="0.25">
      <c r="A306" s="618">
        <f t="shared" si="14"/>
        <v>298</v>
      </c>
      <c r="B306" s="617">
        <f t="shared" si="12"/>
        <v>38099.25</v>
      </c>
      <c r="C306" s="617" t="s">
        <v>106</v>
      </c>
      <c r="D306" s="617">
        <f t="shared" si="13"/>
        <v>39359.25</v>
      </c>
      <c r="E306" s="619"/>
      <c r="F306" s="618"/>
      <c r="G306" s="620"/>
      <c r="H306" s="625"/>
      <c r="I306" s="619">
        <f>I302+1</f>
        <v>75</v>
      </c>
      <c r="J306" s="617">
        <f>38248-1197+14*I306</f>
        <v>38101</v>
      </c>
      <c r="K306" s="620" t="s">
        <v>106</v>
      </c>
      <c r="L306" s="701">
        <f>38248+63+14*I306</f>
        <v>39361</v>
      </c>
      <c r="M306" s="619"/>
      <c r="N306" s="618"/>
      <c r="O306" s="618"/>
      <c r="P306" s="622"/>
      <c r="Q306" s="704"/>
      <c r="R306" s="624"/>
      <c r="S306" s="624"/>
      <c r="T306" s="622"/>
      <c r="U306" s="597"/>
      <c r="V306" s="705"/>
      <c r="W306" s="705"/>
      <c r="X306" s="705"/>
      <c r="Y306" s="605"/>
      <c r="Z306" s="597"/>
      <c r="AA306" s="705"/>
      <c r="AB306" s="705"/>
      <c r="AC306" s="705"/>
      <c r="AD306" s="605"/>
      <c r="AE306" s="679"/>
    </row>
    <row r="307" spans="1:31" x14ac:dyDescent="0.25">
      <c r="A307" s="618">
        <f t="shared" si="14"/>
        <v>299</v>
      </c>
      <c r="B307" s="617">
        <f t="shared" si="12"/>
        <v>38102.75</v>
      </c>
      <c r="C307" s="617" t="s">
        <v>106</v>
      </c>
      <c r="D307" s="617">
        <f t="shared" si="13"/>
        <v>39362.75</v>
      </c>
      <c r="E307" s="619">
        <f>E305+1</f>
        <v>150</v>
      </c>
      <c r="F307" s="617">
        <f>38248-1193.5+7*E307</f>
        <v>38104.5</v>
      </c>
      <c r="G307" s="620" t="s">
        <v>106</v>
      </c>
      <c r="H307" s="725">
        <f>38248+66.5+7*E307</f>
        <v>39364.5</v>
      </c>
      <c r="I307" s="619"/>
      <c r="J307" s="618"/>
      <c r="K307" s="620"/>
      <c r="L307" s="621"/>
      <c r="M307" s="619"/>
      <c r="N307" s="618"/>
      <c r="O307" s="618"/>
      <c r="P307" s="622"/>
      <c r="Q307" s="704"/>
      <c r="R307" s="647"/>
      <c r="S307" s="624"/>
      <c r="T307" s="648"/>
      <c r="U307" s="597"/>
      <c r="V307" s="705"/>
      <c r="W307" s="705"/>
      <c r="X307" s="705"/>
      <c r="Y307" s="605"/>
      <c r="Z307" s="597"/>
      <c r="AA307" s="705"/>
      <c r="AB307" s="705"/>
      <c r="AC307" s="705"/>
      <c r="AD307" s="605"/>
      <c r="AE307" s="706"/>
    </row>
    <row r="308" spans="1:31" x14ac:dyDescent="0.25">
      <c r="A308" s="618">
        <f t="shared" si="14"/>
        <v>300</v>
      </c>
      <c r="B308" s="617">
        <f t="shared" si="12"/>
        <v>38106.25</v>
      </c>
      <c r="C308" s="617" t="s">
        <v>106</v>
      </c>
      <c r="D308" s="617">
        <f t="shared" si="13"/>
        <v>39366.25</v>
      </c>
      <c r="E308" s="619"/>
      <c r="F308" s="618"/>
      <c r="G308" s="620"/>
      <c r="H308" s="625"/>
      <c r="I308" s="619"/>
      <c r="J308" s="618"/>
      <c r="K308" s="618"/>
      <c r="L308" s="622"/>
      <c r="M308" s="619">
        <f>M300+1</f>
        <v>38</v>
      </c>
      <c r="N308" s="617">
        <f>38248-1204+28*M308</f>
        <v>38108</v>
      </c>
      <c r="O308" s="620" t="s">
        <v>106</v>
      </c>
      <c r="P308" s="617">
        <f>38248+56+28*M308</f>
        <v>39368</v>
      </c>
      <c r="Q308" s="704"/>
      <c r="R308" s="624"/>
      <c r="S308" s="624"/>
      <c r="T308" s="622"/>
      <c r="U308" s="619"/>
      <c r="V308" s="617"/>
      <c r="W308" s="620"/>
      <c r="X308" s="620"/>
      <c r="Y308" s="617"/>
      <c r="Z308" s="619"/>
      <c r="AA308" s="617"/>
      <c r="AB308" s="620"/>
      <c r="AC308" s="620"/>
      <c r="AD308" s="617"/>
      <c r="AE308" s="614"/>
    </row>
    <row r="309" spans="1:31" x14ac:dyDescent="0.25">
      <c r="A309" s="618">
        <f t="shared" si="14"/>
        <v>301</v>
      </c>
      <c r="B309" s="617">
        <f t="shared" si="12"/>
        <v>38109.75</v>
      </c>
      <c r="C309" s="617" t="s">
        <v>106</v>
      </c>
      <c r="D309" s="617">
        <f t="shared" si="13"/>
        <v>39369.75</v>
      </c>
      <c r="E309" s="619">
        <f>E307+1</f>
        <v>151</v>
      </c>
      <c r="F309" s="617">
        <f>38248-1193.5+7*E309</f>
        <v>38111.5</v>
      </c>
      <c r="G309" s="620" t="s">
        <v>106</v>
      </c>
      <c r="H309" s="725">
        <f>38248+66.5+7*E309</f>
        <v>39371.5</v>
      </c>
      <c r="I309" s="619"/>
      <c r="J309" s="618"/>
      <c r="K309" s="618"/>
      <c r="L309" s="622"/>
      <c r="M309" s="619"/>
      <c r="N309" s="618"/>
      <c r="O309" s="618"/>
      <c r="P309" s="622"/>
      <c r="Q309" s="704"/>
      <c r="R309" s="624"/>
      <c r="S309" s="624"/>
      <c r="T309" s="622"/>
      <c r="U309" s="597"/>
      <c r="V309" s="705"/>
      <c r="W309" s="705"/>
      <c r="X309" s="705"/>
      <c r="Y309" s="605"/>
      <c r="Z309" s="597"/>
      <c r="AA309" s="705"/>
      <c r="AB309" s="705"/>
      <c r="AC309" s="705"/>
      <c r="AD309" s="605"/>
      <c r="AE309" s="614"/>
    </row>
    <row r="310" spans="1:31" x14ac:dyDescent="0.25">
      <c r="A310" s="618">
        <f t="shared" si="14"/>
        <v>302</v>
      </c>
      <c r="B310" s="617">
        <f t="shared" si="12"/>
        <v>38113.25</v>
      </c>
      <c r="C310" s="617" t="s">
        <v>106</v>
      </c>
      <c r="D310" s="617">
        <f t="shared" si="13"/>
        <v>39373.25</v>
      </c>
      <c r="E310" s="619"/>
      <c r="F310" s="618"/>
      <c r="G310" s="620"/>
      <c r="H310" s="625"/>
      <c r="I310" s="619">
        <f>I306+1</f>
        <v>76</v>
      </c>
      <c r="J310" s="617">
        <f>38248-1197+14*I310</f>
        <v>38115</v>
      </c>
      <c r="K310" s="620" t="s">
        <v>106</v>
      </c>
      <c r="L310" s="701">
        <f>38248+63+14*I310</f>
        <v>39375</v>
      </c>
      <c r="M310" s="619"/>
      <c r="N310" s="618"/>
      <c r="O310" s="618"/>
      <c r="P310" s="622"/>
      <c r="Q310" s="704"/>
      <c r="R310" s="647"/>
      <c r="S310" s="647"/>
      <c r="T310" s="648"/>
      <c r="U310" s="597"/>
      <c r="V310" s="705"/>
      <c r="W310" s="705"/>
      <c r="X310" s="705"/>
      <c r="Y310" s="605"/>
      <c r="Z310" s="597"/>
      <c r="AA310" s="705"/>
      <c r="AB310" s="705"/>
      <c r="AC310" s="705"/>
      <c r="AD310" s="605"/>
      <c r="AE310" s="614"/>
    </row>
    <row r="311" spans="1:31" x14ac:dyDescent="0.25">
      <c r="A311" s="618">
        <f t="shared" si="14"/>
        <v>303</v>
      </c>
      <c r="B311" s="617">
        <f t="shared" si="12"/>
        <v>38116.75</v>
      </c>
      <c r="C311" s="617" t="s">
        <v>106</v>
      </c>
      <c r="D311" s="617">
        <f t="shared" si="13"/>
        <v>39376.75</v>
      </c>
      <c r="E311" s="619">
        <f>E309+1</f>
        <v>152</v>
      </c>
      <c r="F311" s="617">
        <f>38248-1193.5+7*E311</f>
        <v>38118.5</v>
      </c>
      <c r="G311" s="620" t="s">
        <v>106</v>
      </c>
      <c r="H311" s="725">
        <f>38248+66.5+7*E311</f>
        <v>39378.5</v>
      </c>
      <c r="I311" s="619"/>
      <c r="J311" s="618"/>
      <c r="K311" s="620"/>
      <c r="L311" s="621"/>
      <c r="M311" s="619"/>
      <c r="N311" s="618"/>
      <c r="O311" s="618"/>
      <c r="P311" s="622"/>
      <c r="Q311" s="704"/>
      <c r="R311" s="624"/>
      <c r="S311" s="624"/>
      <c r="T311" s="622"/>
      <c r="U311" s="597"/>
      <c r="V311" s="705"/>
      <c r="W311" s="705"/>
      <c r="X311" s="705"/>
      <c r="Y311" s="605"/>
      <c r="Z311" s="597"/>
      <c r="AA311" s="705"/>
      <c r="AB311" s="705"/>
      <c r="AC311" s="705"/>
      <c r="AD311" s="605"/>
      <c r="AE311" s="614"/>
    </row>
    <row r="312" spans="1:31" ht="15.75" thickBot="1" x14ac:dyDescent="0.3">
      <c r="A312" s="643">
        <f t="shared" si="14"/>
        <v>304</v>
      </c>
      <c r="B312" s="673">
        <f t="shared" si="12"/>
        <v>38120.25</v>
      </c>
      <c r="C312" s="673" t="s">
        <v>106</v>
      </c>
      <c r="D312" s="673">
        <f t="shared" si="13"/>
        <v>39380.25</v>
      </c>
      <c r="E312" s="645"/>
      <c r="F312" s="643"/>
      <c r="G312" s="644"/>
      <c r="H312" s="726"/>
      <c r="I312" s="707"/>
      <c r="J312" s="708"/>
      <c r="K312" s="708"/>
      <c r="L312" s="709"/>
      <c r="M312" s="645"/>
      <c r="N312" s="643"/>
      <c r="O312" s="643"/>
      <c r="P312" s="648"/>
      <c r="Q312" s="710"/>
      <c r="R312" s="647"/>
      <c r="S312" s="647"/>
      <c r="T312" s="648"/>
      <c r="U312" s="609">
        <v>10</v>
      </c>
      <c r="V312" s="617">
        <f>38248-1246+112*U312</f>
        <v>38122</v>
      </c>
      <c r="W312" s="717" t="s">
        <v>106</v>
      </c>
      <c r="X312" s="617">
        <f>38248+14+112*U312</f>
        <v>39382</v>
      </c>
      <c r="Y312" s="611"/>
      <c r="Z312" s="609"/>
      <c r="AA312" s="617"/>
      <c r="AB312" s="717"/>
      <c r="AC312" s="617"/>
      <c r="AD312" s="611"/>
      <c r="AE312" s="711"/>
    </row>
    <row r="313" spans="1:31" ht="15.75" thickTop="1" x14ac:dyDescent="0.25">
      <c r="A313" s="721">
        <f t="shared" si="14"/>
        <v>305</v>
      </c>
      <c r="B313" s="655">
        <f t="shared" si="12"/>
        <v>38123.75</v>
      </c>
      <c r="C313" s="655" t="s">
        <v>106</v>
      </c>
      <c r="D313" s="655">
        <f t="shared" si="13"/>
        <v>39383.75</v>
      </c>
      <c r="E313" s="657">
        <f>E311+1</f>
        <v>153</v>
      </c>
      <c r="F313" s="655">
        <f>38248-1193.5+7*E313</f>
        <v>38125.5</v>
      </c>
      <c r="G313" s="722" t="s">
        <v>106</v>
      </c>
      <c r="H313" s="724">
        <f>38248+66.5+7*E313</f>
        <v>39385.5</v>
      </c>
      <c r="I313" s="657"/>
      <c r="J313" s="655"/>
      <c r="K313" s="655"/>
      <c r="L313" s="656"/>
      <c r="M313" s="657"/>
      <c r="N313" s="655"/>
      <c r="O313" s="655"/>
      <c r="P313" s="656"/>
      <c r="Q313" s="712"/>
      <c r="R313" s="660"/>
      <c r="S313" s="660"/>
      <c r="T313" s="656"/>
      <c r="U313" s="713"/>
      <c r="V313" s="714"/>
      <c r="W313" s="714"/>
      <c r="X313" s="714"/>
      <c r="Y313" s="715"/>
      <c r="Z313" s="713"/>
      <c r="AA313" s="714"/>
      <c r="AB313" s="714"/>
      <c r="AC313" s="714"/>
      <c r="AD313" s="715"/>
      <c r="AE313" s="716"/>
    </row>
    <row r="314" spans="1:31" x14ac:dyDescent="0.25">
      <c r="A314" s="618">
        <f t="shared" si="14"/>
        <v>306</v>
      </c>
      <c r="B314" s="617">
        <f t="shared" si="12"/>
        <v>38127.25</v>
      </c>
      <c r="C314" s="617" t="s">
        <v>106</v>
      </c>
      <c r="D314" s="617">
        <f t="shared" si="13"/>
        <v>39387.25</v>
      </c>
      <c r="E314" s="619"/>
      <c r="F314" s="618"/>
      <c r="G314" s="620"/>
      <c r="H314" s="625"/>
      <c r="I314" s="619">
        <f>I310+1</f>
        <v>77</v>
      </c>
      <c r="J314" s="617">
        <f>38248-1197+14*I314</f>
        <v>38129</v>
      </c>
      <c r="K314" s="620" t="s">
        <v>106</v>
      </c>
      <c r="L314" s="701">
        <f>38248+63+14*I314</f>
        <v>39389</v>
      </c>
      <c r="M314" s="619"/>
      <c r="N314" s="618"/>
      <c r="O314" s="618"/>
      <c r="P314" s="622"/>
      <c r="Q314" s="704"/>
      <c r="R314" s="624"/>
      <c r="S314" s="624"/>
      <c r="T314" s="622"/>
      <c r="U314" s="597"/>
      <c r="V314" s="705"/>
      <c r="W314" s="705"/>
      <c r="X314" s="705"/>
      <c r="Y314" s="605"/>
      <c r="Z314" s="597"/>
      <c r="AA314" s="705"/>
      <c r="AB314" s="705"/>
      <c r="AC314" s="705"/>
      <c r="AD314" s="605"/>
      <c r="AE314" s="614"/>
    </row>
    <row r="315" spans="1:31" x14ac:dyDescent="0.25">
      <c r="A315" s="618">
        <f t="shared" si="14"/>
        <v>307</v>
      </c>
      <c r="B315" s="617">
        <f t="shared" si="12"/>
        <v>38130.75</v>
      </c>
      <c r="C315" s="617" t="s">
        <v>106</v>
      </c>
      <c r="D315" s="617">
        <f t="shared" si="13"/>
        <v>39390.75</v>
      </c>
      <c r="E315" s="619">
        <f>E313+1</f>
        <v>154</v>
      </c>
      <c r="F315" s="617">
        <f>38248-1193.5+7*E315</f>
        <v>38132.5</v>
      </c>
      <c r="G315" s="620" t="s">
        <v>106</v>
      </c>
      <c r="H315" s="725">
        <f>38248+66.5+7*E315</f>
        <v>39392.5</v>
      </c>
      <c r="I315" s="619"/>
      <c r="J315" s="618"/>
      <c r="K315" s="620"/>
      <c r="L315" s="621"/>
      <c r="M315" s="619"/>
      <c r="N315" s="618"/>
      <c r="O315" s="618"/>
      <c r="P315" s="622"/>
      <c r="Q315" s="704"/>
      <c r="R315" s="624"/>
      <c r="S315" s="624"/>
      <c r="T315" s="622"/>
      <c r="U315" s="597"/>
      <c r="V315" s="705"/>
      <c r="W315" s="705"/>
      <c r="X315" s="705"/>
      <c r="Y315" s="605"/>
      <c r="Z315" s="597"/>
      <c r="AA315" s="705"/>
      <c r="AB315" s="705"/>
      <c r="AC315" s="705"/>
      <c r="AD315" s="605"/>
      <c r="AE315" s="614"/>
    </row>
    <row r="316" spans="1:31" x14ac:dyDescent="0.25">
      <c r="A316" s="618">
        <f t="shared" si="14"/>
        <v>308</v>
      </c>
      <c r="B316" s="617">
        <f t="shared" si="12"/>
        <v>38134.25</v>
      </c>
      <c r="C316" s="617" t="s">
        <v>106</v>
      </c>
      <c r="D316" s="617">
        <f t="shared" si="13"/>
        <v>39394.25</v>
      </c>
      <c r="E316" s="619"/>
      <c r="F316" s="618"/>
      <c r="G316" s="620"/>
      <c r="H316" s="625"/>
      <c r="I316" s="619"/>
      <c r="J316" s="618"/>
      <c r="K316" s="618"/>
      <c r="L316" s="622"/>
      <c r="M316" s="619">
        <f>M308+1</f>
        <v>39</v>
      </c>
      <c r="N316" s="617">
        <f>38248-1204+28*M316</f>
        <v>38136</v>
      </c>
      <c r="O316" s="620" t="s">
        <v>106</v>
      </c>
      <c r="P316" s="617">
        <f>38248+56+28*M316</f>
        <v>39396</v>
      </c>
      <c r="Q316" s="704"/>
      <c r="R316" s="618"/>
      <c r="S316" s="620"/>
      <c r="T316" s="621"/>
      <c r="U316" s="597"/>
      <c r="V316" s="705"/>
      <c r="W316" s="705"/>
      <c r="X316" s="705"/>
      <c r="Y316" s="605"/>
      <c r="Z316" s="597"/>
      <c r="AA316" s="705"/>
      <c r="AB316" s="705"/>
      <c r="AC316" s="705"/>
      <c r="AD316" s="605"/>
      <c r="AE316" s="614"/>
    </row>
    <row r="317" spans="1:31" x14ac:dyDescent="0.25">
      <c r="A317" s="618">
        <f t="shared" si="14"/>
        <v>309</v>
      </c>
      <c r="B317" s="617">
        <f t="shared" si="12"/>
        <v>38137.75</v>
      </c>
      <c r="C317" s="617" t="s">
        <v>106</v>
      </c>
      <c r="D317" s="617">
        <f t="shared" si="13"/>
        <v>39397.75</v>
      </c>
      <c r="E317" s="619">
        <f>E315+1</f>
        <v>155</v>
      </c>
      <c r="F317" s="617">
        <f>38248-1193.5+7*E317</f>
        <v>38139.5</v>
      </c>
      <c r="G317" s="620" t="s">
        <v>106</v>
      </c>
      <c r="H317" s="725">
        <f>38248+66.5+7*E317</f>
        <v>39399.5</v>
      </c>
      <c r="I317" s="619"/>
      <c r="J317" s="618"/>
      <c r="K317" s="618"/>
      <c r="L317" s="622"/>
      <c r="M317" s="619"/>
      <c r="N317" s="618"/>
      <c r="O317" s="618"/>
      <c r="P317" s="622"/>
      <c r="Q317" s="704"/>
      <c r="R317" s="624"/>
      <c r="S317" s="624"/>
      <c r="T317" s="622"/>
      <c r="U317" s="597"/>
      <c r="V317" s="705"/>
      <c r="W317" s="705"/>
      <c r="X317" s="705"/>
      <c r="Y317" s="605"/>
      <c r="Z317" s="597"/>
      <c r="AA317" s="705"/>
      <c r="AB317" s="705"/>
      <c r="AC317" s="705"/>
      <c r="AD317" s="605"/>
      <c r="AE317" s="614"/>
    </row>
    <row r="318" spans="1:31" x14ac:dyDescent="0.25">
      <c r="A318" s="618">
        <f t="shared" si="14"/>
        <v>310</v>
      </c>
      <c r="B318" s="617">
        <f t="shared" si="12"/>
        <v>38141.25</v>
      </c>
      <c r="C318" s="617" t="s">
        <v>106</v>
      </c>
      <c r="D318" s="617">
        <f t="shared" si="13"/>
        <v>39401.25</v>
      </c>
      <c r="E318" s="619"/>
      <c r="F318" s="618"/>
      <c r="G318" s="620"/>
      <c r="H318" s="625"/>
      <c r="I318" s="619">
        <f>I314+1</f>
        <v>78</v>
      </c>
      <c r="J318" s="617">
        <f>38248-1197+14*I318</f>
        <v>38143</v>
      </c>
      <c r="K318" s="620" t="s">
        <v>106</v>
      </c>
      <c r="L318" s="701">
        <f>38248+63+14*I318</f>
        <v>39403</v>
      </c>
      <c r="M318" s="619"/>
      <c r="N318" s="618"/>
      <c r="O318" s="618"/>
      <c r="P318" s="622"/>
      <c r="Q318" s="704"/>
      <c r="R318" s="624"/>
      <c r="S318" s="624"/>
      <c r="T318" s="622"/>
      <c r="U318" s="597"/>
      <c r="V318" s="705"/>
      <c r="W318" s="705"/>
      <c r="X318" s="705"/>
      <c r="Y318" s="605"/>
      <c r="Z318" s="597"/>
      <c r="AA318" s="705"/>
      <c r="AB318" s="705"/>
      <c r="AC318" s="705"/>
      <c r="AD318" s="605"/>
      <c r="AE318" s="614"/>
    </row>
    <row r="319" spans="1:31" x14ac:dyDescent="0.25">
      <c r="A319" s="618">
        <f t="shared" si="14"/>
        <v>311</v>
      </c>
      <c r="B319" s="617">
        <f t="shared" si="12"/>
        <v>38144.75</v>
      </c>
      <c r="C319" s="617" t="s">
        <v>106</v>
      </c>
      <c r="D319" s="617">
        <f t="shared" si="13"/>
        <v>39404.75</v>
      </c>
      <c r="E319" s="619">
        <f>E317+1</f>
        <v>156</v>
      </c>
      <c r="F319" s="617">
        <f>38248-1193.5+7*E319</f>
        <v>38146.5</v>
      </c>
      <c r="G319" s="620" t="s">
        <v>106</v>
      </c>
      <c r="H319" s="725">
        <f>38248+66.5+7*E319</f>
        <v>39406.5</v>
      </c>
      <c r="I319" s="619"/>
      <c r="J319" s="618"/>
      <c r="K319" s="620"/>
      <c r="L319" s="621"/>
      <c r="M319" s="619"/>
      <c r="N319" s="618"/>
      <c r="O319" s="618"/>
      <c r="P319" s="622"/>
      <c r="Q319" s="704"/>
      <c r="R319" s="624"/>
      <c r="S319" s="624"/>
      <c r="T319" s="622"/>
      <c r="U319" s="597"/>
      <c r="V319" s="705"/>
      <c r="W319" s="705"/>
      <c r="X319" s="705"/>
      <c r="Y319" s="605"/>
      <c r="Z319" s="597"/>
      <c r="AA319" s="705"/>
      <c r="AB319" s="705"/>
      <c r="AC319" s="705"/>
      <c r="AD319" s="605"/>
      <c r="AE319" s="614"/>
    </row>
    <row r="320" spans="1:31" x14ac:dyDescent="0.25">
      <c r="A320" s="618">
        <f t="shared" si="14"/>
        <v>312</v>
      </c>
      <c r="B320" s="617">
        <f t="shared" si="12"/>
        <v>38148.25</v>
      </c>
      <c r="C320" s="617" t="s">
        <v>106</v>
      </c>
      <c r="D320" s="617">
        <f t="shared" si="13"/>
        <v>39408.25</v>
      </c>
      <c r="E320" s="619"/>
      <c r="F320" s="618"/>
      <c r="G320" s="620"/>
      <c r="H320" s="625"/>
      <c r="I320" s="619"/>
      <c r="J320" s="618"/>
      <c r="K320" s="618"/>
      <c r="L320" s="622"/>
      <c r="M320" s="619"/>
      <c r="N320" s="618"/>
      <c r="O320" s="618"/>
      <c r="P320" s="622"/>
      <c r="Q320" s="619">
        <f>Q304+1</f>
        <v>20</v>
      </c>
      <c r="R320" s="617">
        <f>38248-1218+56*Q320</f>
        <v>38150</v>
      </c>
      <c r="S320" s="620" t="s">
        <v>106</v>
      </c>
      <c r="T320" s="617">
        <f>38248+42+56*Q320</f>
        <v>39410</v>
      </c>
      <c r="U320" s="597"/>
      <c r="V320" s="705"/>
      <c r="W320" s="705"/>
      <c r="X320" s="705"/>
      <c r="Y320" s="605"/>
      <c r="Z320" s="597"/>
      <c r="AA320" s="705"/>
      <c r="AB320" s="705"/>
      <c r="AC320" s="705"/>
      <c r="AD320" s="605"/>
      <c r="AE320" s="698"/>
    </row>
    <row r="321" spans="1:31" x14ac:dyDescent="0.25">
      <c r="A321" s="618">
        <f t="shared" si="14"/>
        <v>313</v>
      </c>
      <c r="B321" s="617">
        <f t="shared" si="12"/>
        <v>38151.75</v>
      </c>
      <c r="C321" s="617" t="s">
        <v>106</v>
      </c>
      <c r="D321" s="617">
        <f t="shared" si="13"/>
        <v>39411.75</v>
      </c>
      <c r="E321" s="619">
        <f>E319+1</f>
        <v>157</v>
      </c>
      <c r="F321" s="617">
        <f>38248-1193.5+7*E321</f>
        <v>38153.5</v>
      </c>
      <c r="G321" s="620" t="s">
        <v>106</v>
      </c>
      <c r="H321" s="725">
        <f>38248+66.5+7*E321</f>
        <v>39413.5</v>
      </c>
      <c r="I321" s="619"/>
      <c r="J321" s="618"/>
      <c r="K321" s="618"/>
      <c r="L321" s="622"/>
      <c r="M321" s="619"/>
      <c r="N321" s="618"/>
      <c r="O321" s="618"/>
      <c r="P321" s="622"/>
      <c r="Q321" s="704"/>
      <c r="R321" s="624"/>
      <c r="S321" s="624"/>
      <c r="T321" s="622"/>
      <c r="U321" s="597"/>
      <c r="V321" s="705"/>
      <c r="W321" s="705"/>
      <c r="X321" s="705"/>
      <c r="Y321" s="605"/>
      <c r="Z321" s="597"/>
      <c r="AA321" s="705"/>
      <c r="AB321" s="705"/>
      <c r="AC321" s="705"/>
      <c r="AD321" s="605"/>
      <c r="AE321" s="679"/>
    </row>
    <row r="322" spans="1:31" x14ac:dyDescent="0.25">
      <c r="A322" s="618">
        <f t="shared" si="14"/>
        <v>314</v>
      </c>
      <c r="B322" s="617">
        <f t="shared" si="12"/>
        <v>38155.25</v>
      </c>
      <c r="C322" s="617" t="s">
        <v>106</v>
      </c>
      <c r="D322" s="617">
        <f t="shared" si="13"/>
        <v>39415.25</v>
      </c>
      <c r="E322" s="619"/>
      <c r="F322" s="618"/>
      <c r="G322" s="620"/>
      <c r="H322" s="625"/>
      <c r="I322" s="619">
        <f>I318+1</f>
        <v>79</v>
      </c>
      <c r="J322" s="617">
        <f>38248-1197+14*I322</f>
        <v>38157</v>
      </c>
      <c r="K322" s="620" t="s">
        <v>106</v>
      </c>
      <c r="L322" s="701">
        <f>38248+63+14*I322</f>
        <v>39417</v>
      </c>
      <c r="M322" s="619"/>
      <c r="N322" s="618"/>
      <c r="O322" s="618"/>
      <c r="P322" s="622"/>
      <c r="Q322" s="704"/>
      <c r="R322" s="624"/>
      <c r="S322" s="624"/>
      <c r="T322" s="622"/>
      <c r="U322" s="597"/>
      <c r="V322" s="705"/>
      <c r="W322" s="705"/>
      <c r="X322" s="705"/>
      <c r="Y322" s="605"/>
      <c r="Z322" s="597"/>
      <c r="AA322" s="705"/>
      <c r="AB322" s="705"/>
      <c r="AC322" s="705"/>
      <c r="AD322" s="605"/>
      <c r="AE322" s="706"/>
    </row>
    <row r="323" spans="1:31" x14ac:dyDescent="0.25">
      <c r="A323" s="618">
        <f t="shared" si="14"/>
        <v>315</v>
      </c>
      <c r="B323" s="617">
        <f t="shared" si="12"/>
        <v>38158.75</v>
      </c>
      <c r="C323" s="617" t="s">
        <v>106</v>
      </c>
      <c r="D323" s="617">
        <f t="shared" si="13"/>
        <v>39418.75</v>
      </c>
      <c r="E323" s="619">
        <f>E321+1</f>
        <v>158</v>
      </c>
      <c r="F323" s="617">
        <f>38248-1193.5+7*E323</f>
        <v>38160.5</v>
      </c>
      <c r="G323" s="620" t="s">
        <v>106</v>
      </c>
      <c r="H323" s="725">
        <f>38248+66.5+7*E323</f>
        <v>39420.5</v>
      </c>
      <c r="I323" s="619"/>
      <c r="J323" s="618"/>
      <c r="K323" s="620"/>
      <c r="L323" s="621"/>
      <c r="M323" s="619"/>
      <c r="N323" s="618"/>
      <c r="O323" s="618"/>
      <c r="P323" s="622"/>
      <c r="Q323" s="704"/>
      <c r="R323" s="647"/>
      <c r="S323" s="624"/>
      <c r="T323" s="648"/>
      <c r="U323" s="597"/>
      <c r="V323" s="705"/>
      <c r="W323" s="705"/>
      <c r="X323" s="705"/>
      <c r="Y323" s="605"/>
      <c r="Z323" s="597"/>
      <c r="AA323" s="705"/>
      <c r="AB323" s="705"/>
      <c r="AC323" s="705"/>
      <c r="AD323" s="605"/>
      <c r="AE323" s="614"/>
    </row>
    <row r="324" spans="1:31" x14ac:dyDescent="0.25">
      <c r="A324" s="618">
        <f t="shared" si="14"/>
        <v>316</v>
      </c>
      <c r="B324" s="617">
        <f t="shared" si="12"/>
        <v>38162.25</v>
      </c>
      <c r="C324" s="617" t="s">
        <v>106</v>
      </c>
      <c r="D324" s="617">
        <f t="shared" si="13"/>
        <v>39422.25</v>
      </c>
      <c r="E324" s="619"/>
      <c r="F324" s="618"/>
      <c r="G324" s="620"/>
      <c r="H324" s="625"/>
      <c r="I324" s="619"/>
      <c r="J324" s="618"/>
      <c r="K324" s="618"/>
      <c r="L324" s="622"/>
      <c r="M324" s="619">
        <f>M316+1</f>
        <v>40</v>
      </c>
      <c r="N324" s="617">
        <f>38248-1204+28*M324</f>
        <v>38164</v>
      </c>
      <c r="O324" s="620" t="s">
        <v>106</v>
      </c>
      <c r="P324" s="617">
        <f>38248+56+28*M324</f>
        <v>39424</v>
      </c>
      <c r="Q324" s="704"/>
      <c r="R324" s="624"/>
      <c r="S324" s="624"/>
      <c r="T324" s="622"/>
      <c r="U324" s="597"/>
      <c r="V324" s="705"/>
      <c r="W324" s="705"/>
      <c r="X324" s="705"/>
      <c r="Y324" s="605"/>
      <c r="Z324" s="597"/>
      <c r="AA324" s="705"/>
      <c r="AB324" s="705"/>
      <c r="AC324" s="705"/>
      <c r="AD324" s="605"/>
      <c r="AE324" s="614"/>
    </row>
    <row r="325" spans="1:31" x14ac:dyDescent="0.25">
      <c r="A325" s="618">
        <f t="shared" si="14"/>
        <v>317</v>
      </c>
      <c r="B325" s="617">
        <f t="shared" si="12"/>
        <v>38165.75</v>
      </c>
      <c r="C325" s="617" t="s">
        <v>106</v>
      </c>
      <c r="D325" s="617">
        <f t="shared" si="13"/>
        <v>39425.75</v>
      </c>
      <c r="E325" s="619">
        <f>E323+1</f>
        <v>159</v>
      </c>
      <c r="F325" s="617">
        <f>38248-1193.5+7*E325</f>
        <v>38167.5</v>
      </c>
      <c r="G325" s="620" t="s">
        <v>106</v>
      </c>
      <c r="H325" s="725">
        <f>38248+66.5+7*E325</f>
        <v>39427.5</v>
      </c>
      <c r="I325" s="619"/>
      <c r="J325" s="618"/>
      <c r="K325" s="618"/>
      <c r="L325" s="622"/>
      <c r="M325" s="619"/>
      <c r="N325" s="618"/>
      <c r="O325" s="618"/>
      <c r="P325" s="622"/>
      <c r="Q325" s="704"/>
      <c r="R325" s="624"/>
      <c r="S325" s="624"/>
      <c r="T325" s="622"/>
      <c r="U325" s="597"/>
      <c r="V325" s="705"/>
      <c r="W325" s="705"/>
      <c r="X325" s="705"/>
      <c r="Y325" s="605"/>
      <c r="Z325" s="597"/>
      <c r="AA325" s="705"/>
      <c r="AB325" s="705"/>
      <c r="AC325" s="705"/>
      <c r="AD325" s="605"/>
      <c r="AE325" s="614"/>
    </row>
    <row r="326" spans="1:31" x14ac:dyDescent="0.25">
      <c r="A326" s="618">
        <f t="shared" si="14"/>
        <v>318</v>
      </c>
      <c r="B326" s="617">
        <f t="shared" si="12"/>
        <v>38169.25</v>
      </c>
      <c r="C326" s="617" t="s">
        <v>106</v>
      </c>
      <c r="D326" s="617">
        <f t="shared" si="13"/>
        <v>39429.25</v>
      </c>
      <c r="E326" s="619"/>
      <c r="F326" s="618"/>
      <c r="G326" s="620"/>
      <c r="H326" s="625"/>
      <c r="I326" s="619">
        <f>I322+1</f>
        <v>80</v>
      </c>
      <c r="J326" s="617">
        <f>38248-1197+14*I326</f>
        <v>38171</v>
      </c>
      <c r="K326" s="620" t="s">
        <v>106</v>
      </c>
      <c r="L326" s="701">
        <f>38248+63+14*I326</f>
        <v>39431</v>
      </c>
      <c r="M326" s="619"/>
      <c r="N326" s="618"/>
      <c r="O326" s="618"/>
      <c r="P326" s="622"/>
      <c r="Q326" s="704"/>
      <c r="R326" s="647"/>
      <c r="S326" s="647"/>
      <c r="T326" s="648"/>
      <c r="U326" s="597"/>
      <c r="V326" s="705"/>
      <c r="W326" s="705"/>
      <c r="X326" s="705"/>
      <c r="Y326" s="605"/>
      <c r="Z326" s="597"/>
      <c r="AA326" s="705"/>
      <c r="AB326" s="705"/>
      <c r="AC326" s="705"/>
      <c r="AD326" s="605"/>
      <c r="AE326" s="614"/>
    </row>
    <row r="327" spans="1:31" x14ac:dyDescent="0.25">
      <c r="A327" s="618">
        <f t="shared" si="14"/>
        <v>319</v>
      </c>
      <c r="B327" s="617">
        <f t="shared" si="12"/>
        <v>38172.75</v>
      </c>
      <c r="C327" s="617" t="s">
        <v>106</v>
      </c>
      <c r="D327" s="617">
        <f t="shared" si="13"/>
        <v>39432.75</v>
      </c>
      <c r="E327" s="619">
        <f>E325+1</f>
        <v>160</v>
      </c>
      <c r="F327" s="617">
        <f>38248-1193.5+7*E327</f>
        <v>38174.5</v>
      </c>
      <c r="G327" s="620" t="s">
        <v>106</v>
      </c>
      <c r="H327" s="725">
        <f>38248+66.5+7*E327</f>
        <v>39434.5</v>
      </c>
      <c r="I327" s="619"/>
      <c r="J327" s="618"/>
      <c r="K327" s="620"/>
      <c r="L327" s="621"/>
      <c r="M327" s="619"/>
      <c r="N327" s="618"/>
      <c r="O327" s="618"/>
      <c r="P327" s="622"/>
      <c r="Q327" s="704"/>
      <c r="R327" s="624"/>
      <c r="S327" s="624"/>
      <c r="T327" s="622"/>
      <c r="U327" s="597"/>
      <c r="V327" s="705"/>
      <c r="W327" s="705"/>
      <c r="X327" s="705"/>
      <c r="Y327" s="605"/>
      <c r="Z327" s="597"/>
      <c r="AA327" s="705"/>
      <c r="AB327" s="705"/>
      <c r="AC327" s="705"/>
      <c r="AD327" s="605"/>
      <c r="AE327" s="614"/>
    </row>
    <row r="328" spans="1:31" ht="15.75" thickBot="1" x14ac:dyDescent="0.3">
      <c r="A328" s="618">
        <f t="shared" si="14"/>
        <v>320</v>
      </c>
      <c r="B328" s="618">
        <f t="shared" si="12"/>
        <v>38176.25</v>
      </c>
      <c r="C328" s="618" t="s">
        <v>106</v>
      </c>
      <c r="D328" s="643">
        <f t="shared" si="13"/>
        <v>39436.25</v>
      </c>
      <c r="E328" s="619"/>
      <c r="F328" s="618"/>
      <c r="G328" s="620"/>
      <c r="H328" s="625"/>
      <c r="I328" s="619"/>
      <c r="J328" s="618"/>
      <c r="K328" s="618"/>
      <c r="L328" s="622"/>
      <c r="M328" s="619"/>
      <c r="N328" s="618"/>
      <c r="O328" s="618"/>
      <c r="P328" s="622"/>
      <c r="Q328" s="704"/>
      <c r="R328" s="624"/>
      <c r="S328" s="624"/>
      <c r="T328" s="622"/>
      <c r="U328" s="597"/>
      <c r="V328" s="705"/>
      <c r="W328" s="705"/>
      <c r="X328" s="705"/>
      <c r="Y328" s="605"/>
      <c r="Z328" s="597"/>
      <c r="AA328" s="705"/>
      <c r="AB328" s="705"/>
      <c r="AC328" s="705"/>
      <c r="AD328" s="605"/>
      <c r="AE328" s="614"/>
    </row>
    <row r="329" spans="1:31" x14ac:dyDescent="0.25">
      <c r="A329" s="58"/>
      <c r="B329" s="38"/>
      <c r="D329" s="377">
        <v>39438</v>
      </c>
      <c r="E329" s="178"/>
      <c r="F329" s="38"/>
      <c r="H329" s="377">
        <v>39438</v>
      </c>
      <c r="I329" s="245"/>
      <c r="J329" s="38"/>
      <c r="L329" s="377">
        <v>39438</v>
      </c>
      <c r="M329" s="245"/>
      <c r="N329" s="38"/>
      <c r="P329" s="377">
        <v>39438</v>
      </c>
      <c r="Q329" s="331"/>
      <c r="R329" s="38"/>
      <c r="T329" s="377">
        <v>39438</v>
      </c>
      <c r="U329" s="178"/>
      <c r="V329" s="186"/>
      <c r="W329" s="186"/>
      <c r="X329" s="186"/>
      <c r="Y329" s="181"/>
      <c r="Z329" s="178"/>
      <c r="AA329" s="186"/>
      <c r="AB329" s="186"/>
      <c r="AC329" s="186"/>
      <c r="AD329" s="181"/>
      <c r="AE329" s="187"/>
    </row>
    <row r="330" spans="1:31" ht="15.75" thickBot="1" x14ac:dyDescent="0.3">
      <c r="A330" s="279"/>
      <c r="B330" s="336">
        <v>38178</v>
      </c>
      <c r="C330" s="337" t="s">
        <v>106</v>
      </c>
      <c r="D330" s="338">
        <v>39500</v>
      </c>
      <c r="E330" s="221"/>
      <c r="F330" s="336">
        <v>38178</v>
      </c>
      <c r="G330" s="337" t="s">
        <v>106</v>
      </c>
      <c r="H330" s="338">
        <v>39500</v>
      </c>
      <c r="I330" s="221"/>
      <c r="J330" s="336">
        <v>38178</v>
      </c>
      <c r="K330" s="337" t="s">
        <v>106</v>
      </c>
      <c r="L330" s="378">
        <v>39500</v>
      </c>
      <c r="M330" s="339"/>
      <c r="N330" s="336">
        <v>38178</v>
      </c>
      <c r="O330" s="337" t="s">
        <v>106</v>
      </c>
      <c r="P330" s="338">
        <v>39500</v>
      </c>
      <c r="Q330" s="340"/>
      <c r="R330" s="336">
        <v>38178</v>
      </c>
      <c r="S330" s="337" t="s">
        <v>106</v>
      </c>
      <c r="T330" s="338">
        <v>39500</v>
      </c>
      <c r="U330" s="221"/>
      <c r="V330" s="379"/>
      <c r="W330" s="379"/>
      <c r="X330" s="379"/>
      <c r="Y330" s="380"/>
      <c r="Z330" s="221"/>
      <c r="AA330" s="379"/>
      <c r="AB330" s="379"/>
      <c r="AC330" s="379"/>
      <c r="AD330" s="380"/>
      <c r="AE330" s="185" t="s">
        <v>188</v>
      </c>
    </row>
    <row r="331" spans="1:31" ht="15.75" thickTop="1" x14ac:dyDescent="0.25"/>
  </sheetData>
  <hyperlinks>
    <hyperlink ref="K1" location="'Oversikt'!A1" display="Oversikt" xr:uid="{3C30EB67-12ED-40CA-8252-48DC3A221CA4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55D6-E6CD-4BFE-B298-40B978CFA75E}">
  <dimension ref="A1:AS155"/>
  <sheetViews>
    <sheetView tabSelected="1" topLeftCell="AD1" zoomScale="90" zoomScaleNormal="90" workbookViewId="0">
      <pane ySplit="4" topLeftCell="A5" activePane="bottomLeft" state="frozen"/>
      <selection pane="bottomLeft" activeCell="AS6" sqref="AS6"/>
    </sheetView>
  </sheetViews>
  <sheetFormatPr baseColWidth="10" defaultColWidth="11.42578125" defaultRowHeight="15" x14ac:dyDescent="0.25"/>
  <cols>
    <col min="1" max="1" width="10" style="736" bestFit="1" customWidth="1"/>
    <col min="2" max="2" width="13.5703125" style="738" bestFit="1" customWidth="1"/>
    <col min="3" max="3" width="2.140625" style="738" bestFit="1" customWidth="1"/>
    <col min="4" max="4" width="13.5703125" style="738" bestFit="1" customWidth="1"/>
    <col min="5" max="5" width="10" style="736" bestFit="1" customWidth="1"/>
    <col min="6" max="6" width="12.42578125" style="738" bestFit="1" customWidth="1"/>
    <col min="7" max="7" width="2.140625" style="738" bestFit="1" customWidth="1"/>
    <col min="8" max="8" width="12.42578125" style="738" customWidth="1"/>
    <col min="9" max="9" width="10" style="736" bestFit="1" customWidth="1"/>
    <col min="10" max="10" width="10.7109375" style="738" customWidth="1"/>
    <col min="11" max="11" width="2.140625" style="738" bestFit="1" customWidth="1"/>
    <col min="12" max="12" width="10.7109375" style="738" customWidth="1"/>
    <col min="13" max="13" width="10" style="736" bestFit="1" customWidth="1"/>
    <col min="14" max="14" width="10.7109375" style="738" customWidth="1"/>
    <col min="15" max="15" width="2.140625" style="738" bestFit="1" customWidth="1"/>
    <col min="16" max="16" width="12.28515625" style="738" customWidth="1"/>
    <col min="17" max="17" width="10" style="736" bestFit="1" customWidth="1"/>
    <col min="18" max="18" width="10.28515625" style="738" bestFit="1" customWidth="1"/>
    <col min="19" max="19" width="2.140625" style="738" bestFit="1" customWidth="1"/>
    <col min="20" max="20" width="10.28515625" style="738" bestFit="1" customWidth="1"/>
    <col min="21" max="21" width="10" style="736" bestFit="1" customWidth="1"/>
    <col min="22" max="22" width="11.42578125" style="738" bestFit="1"/>
    <col min="23" max="23" width="2.140625" style="738" bestFit="1" customWidth="1"/>
    <col min="24" max="24" width="11.42578125" style="738" bestFit="1"/>
    <col min="25" max="25" width="10" style="736" bestFit="1" customWidth="1"/>
    <col min="26" max="26" width="10.28515625" style="738" bestFit="1" customWidth="1"/>
    <col min="27" max="27" width="2.140625" style="738" bestFit="1" customWidth="1"/>
    <col min="28" max="28" width="10.28515625" style="738" bestFit="1" customWidth="1"/>
    <col min="29" max="29" width="10" style="736" bestFit="1" customWidth="1"/>
    <col min="30" max="30" width="10.7109375" style="738" customWidth="1"/>
    <col min="31" max="31" width="2.140625" style="738" bestFit="1" customWidth="1"/>
    <col min="32" max="32" width="10.28515625" style="738" bestFit="1" customWidth="1"/>
    <col min="33" max="33" width="10" style="736" bestFit="1" customWidth="1"/>
    <col min="34" max="34" width="9.28515625" style="738" bestFit="1" customWidth="1"/>
    <col min="35" max="35" width="2.140625" style="738" bestFit="1" customWidth="1"/>
    <col min="36" max="36" width="9.28515625" style="738" bestFit="1" customWidth="1"/>
    <col min="37" max="37" width="10" style="736" bestFit="1" customWidth="1"/>
    <col min="38" max="38" width="11.42578125" style="738" bestFit="1"/>
    <col min="39" max="39" width="2.140625" style="738" bestFit="1" customWidth="1"/>
    <col min="40" max="40" width="11.42578125" style="738" bestFit="1"/>
    <col min="41" max="41" width="10" style="736" bestFit="1" customWidth="1"/>
    <col min="42" max="42" width="10.28515625" style="738" bestFit="1" customWidth="1"/>
    <col min="43" max="43" width="2.140625" style="738" bestFit="1" customWidth="1"/>
    <col min="44" max="44" width="10.28515625" style="738" bestFit="1" customWidth="1"/>
    <col min="45" max="45" width="32.5703125" style="738" bestFit="1" customWidth="1"/>
    <col min="46" max="16384" width="11.42578125" style="738"/>
  </cols>
  <sheetData>
    <row r="1" spans="1:45" ht="28.5" x14ac:dyDescent="0.45">
      <c r="B1" s="737" t="s">
        <v>233</v>
      </c>
    </row>
    <row r="2" spans="1:45" ht="18.75" x14ac:dyDescent="0.3">
      <c r="B2" s="739" t="s">
        <v>48</v>
      </c>
      <c r="F2" s="800" t="s">
        <v>50</v>
      </c>
    </row>
    <row r="3" spans="1:45" ht="15.75" thickBot="1" x14ac:dyDescent="0.3">
      <c r="B3" s="739" t="s">
        <v>234</v>
      </c>
    </row>
    <row r="4" spans="1:45" s="743" customFormat="1" ht="15.75" thickBot="1" x14ac:dyDescent="0.3">
      <c r="A4" s="740"/>
      <c r="B4" s="741" t="s">
        <v>235</v>
      </c>
      <c r="C4" s="741"/>
      <c r="D4" s="741"/>
      <c r="E4" s="740"/>
      <c r="F4" s="741" t="s">
        <v>236</v>
      </c>
      <c r="G4" s="741"/>
      <c r="H4" s="741"/>
      <c r="I4" s="740" t="s">
        <v>102</v>
      </c>
      <c r="J4" s="741" t="s">
        <v>237</v>
      </c>
      <c r="K4" s="741"/>
      <c r="L4" s="741"/>
      <c r="M4" s="740" t="s">
        <v>102</v>
      </c>
      <c r="N4" s="741" t="s">
        <v>238</v>
      </c>
      <c r="O4" s="741"/>
      <c r="P4" s="741"/>
      <c r="Q4" s="740" t="s">
        <v>102</v>
      </c>
      <c r="R4" s="741" t="s">
        <v>239</v>
      </c>
      <c r="S4" s="741"/>
      <c r="T4" s="741"/>
      <c r="U4" s="740" t="s">
        <v>102</v>
      </c>
      <c r="V4" s="741" t="s">
        <v>240</v>
      </c>
      <c r="W4" s="741"/>
      <c r="X4" s="741"/>
      <c r="Y4" s="740" t="s">
        <v>102</v>
      </c>
      <c r="Z4" s="741" t="s">
        <v>241</v>
      </c>
      <c r="AA4" s="741"/>
      <c r="AB4" s="741"/>
      <c r="AC4" s="740" t="s">
        <v>102</v>
      </c>
      <c r="AD4" s="741" t="s">
        <v>242</v>
      </c>
      <c r="AE4" s="741"/>
      <c r="AF4" s="741"/>
      <c r="AG4" s="740" t="s">
        <v>102</v>
      </c>
      <c r="AH4" s="741" t="s">
        <v>243</v>
      </c>
      <c r="AI4" s="741"/>
      <c r="AJ4" s="741"/>
      <c r="AK4" s="740" t="s">
        <v>102</v>
      </c>
      <c r="AL4" s="741" t="s">
        <v>244</v>
      </c>
      <c r="AM4" s="741"/>
      <c r="AN4" s="741"/>
      <c r="AO4" s="740" t="s">
        <v>102</v>
      </c>
      <c r="AP4" s="741" t="s">
        <v>245</v>
      </c>
      <c r="AQ4" s="741"/>
      <c r="AR4" s="742"/>
      <c r="AS4" s="742" t="s">
        <v>105</v>
      </c>
    </row>
    <row r="5" spans="1:45" x14ac:dyDescent="0.25">
      <c r="A5" s="744">
        <v>1</v>
      </c>
      <c r="B5" s="745" t="s">
        <v>246</v>
      </c>
      <c r="C5" s="745" t="str">
        <f>IF(B5&lt;&gt;"","/","")</f>
        <v>/</v>
      </c>
      <c r="D5" s="745" t="s">
        <v>247</v>
      </c>
      <c r="E5" s="744"/>
      <c r="F5" s="745"/>
      <c r="G5" s="745" t="str">
        <f>IF(F5&lt;&gt;"","/","")</f>
        <v/>
      </c>
      <c r="H5" s="745"/>
      <c r="I5" s="744"/>
      <c r="J5" s="745"/>
      <c r="K5" s="745" t="str">
        <f>IF(J5&lt;&gt;"","/","")</f>
        <v/>
      </c>
      <c r="L5" s="745"/>
      <c r="M5" s="744"/>
      <c r="N5" s="745"/>
      <c r="O5" s="745" t="str">
        <f>IF(N5&lt;&gt;"","/","")</f>
        <v/>
      </c>
      <c r="P5" s="745"/>
      <c r="Q5" s="744"/>
      <c r="R5" s="745"/>
      <c r="S5" s="745" t="str">
        <f>IF(R5&lt;&gt;"","/","")</f>
        <v/>
      </c>
      <c r="T5" s="745"/>
      <c r="U5" s="744"/>
      <c r="V5" s="745"/>
      <c r="W5" s="745" t="str">
        <f>IF(V5&lt;&gt;"","/","")</f>
        <v/>
      </c>
      <c r="X5" s="745"/>
      <c r="Y5" s="744"/>
      <c r="Z5" s="745"/>
      <c r="AA5" s="745" t="str">
        <f>IF(Z5&lt;&gt;"","/","")</f>
        <v/>
      </c>
      <c r="AB5" s="745"/>
      <c r="AC5" s="744"/>
      <c r="AD5" s="745"/>
      <c r="AE5" s="745" t="str">
        <f>IF(AD5&lt;&gt;"","/","")</f>
        <v/>
      </c>
      <c r="AF5" s="745"/>
      <c r="AG5" s="744"/>
      <c r="AH5" s="745"/>
      <c r="AI5" s="745" t="str">
        <f>IF(AH5&lt;&gt;"","/","")</f>
        <v/>
      </c>
      <c r="AJ5" s="745"/>
      <c r="AK5" s="744"/>
      <c r="AL5" s="745"/>
      <c r="AM5" s="745" t="str">
        <f>IF(AL5&lt;&gt;"","/","")</f>
        <v/>
      </c>
      <c r="AN5" s="745"/>
      <c r="AO5" s="744"/>
      <c r="AP5" s="745"/>
      <c r="AQ5" s="745" t="str">
        <f>IF(AP5&lt;&gt;"","/","")</f>
        <v/>
      </c>
      <c r="AR5" s="746"/>
      <c r="AS5" s="747"/>
    </row>
    <row r="6" spans="1:45" x14ac:dyDescent="0.25">
      <c r="A6" s="748"/>
      <c r="B6" s="749"/>
      <c r="C6" s="749" t="str">
        <f t="shared" ref="C6:C69" si="0">IF(B6&lt;&gt;"","/","")</f>
        <v/>
      </c>
      <c r="D6" s="749"/>
      <c r="E6" s="748">
        <v>1</v>
      </c>
      <c r="F6" s="749" t="s">
        <v>248</v>
      </c>
      <c r="G6" s="749" t="str">
        <f t="shared" ref="G6:G69" si="1">IF(F6&lt;&gt;"","/","")</f>
        <v>/</v>
      </c>
      <c r="H6" s="749" t="s">
        <v>249</v>
      </c>
      <c r="I6" s="748"/>
      <c r="J6" s="749"/>
      <c r="K6" s="749" t="str">
        <f t="shared" ref="K6:K69" si="2">IF(J6&lt;&gt;"","/","")</f>
        <v/>
      </c>
      <c r="L6" s="749"/>
      <c r="M6" s="748"/>
      <c r="N6" s="749"/>
      <c r="O6" s="749" t="str">
        <f t="shared" ref="O6:O69" si="3">IF(N6&lt;&gt;"","/","")</f>
        <v/>
      </c>
      <c r="P6" s="749"/>
      <c r="Q6" s="748"/>
      <c r="R6" s="749"/>
      <c r="S6" s="749" t="str">
        <f t="shared" ref="S6:S69" si="4">IF(R6&lt;&gt;"","/","")</f>
        <v/>
      </c>
      <c r="T6" s="749"/>
      <c r="U6" s="748"/>
      <c r="V6" s="749"/>
      <c r="W6" s="749" t="str">
        <f t="shared" ref="W6:W69" si="5">IF(V6&lt;&gt;"","/","")</f>
        <v/>
      </c>
      <c r="X6" s="749"/>
      <c r="Y6" s="748"/>
      <c r="Z6" s="749"/>
      <c r="AA6" s="749" t="str">
        <f t="shared" ref="AA6:AA69" si="6">IF(Z6&lt;&gt;"","/","")</f>
        <v/>
      </c>
      <c r="AB6" s="749"/>
      <c r="AC6" s="748"/>
      <c r="AD6" s="749"/>
      <c r="AE6" s="749" t="str">
        <f t="shared" ref="AE6:AE69" si="7">IF(AD6&lt;&gt;"","/","")</f>
        <v/>
      </c>
      <c r="AF6" s="749"/>
      <c r="AG6" s="748"/>
      <c r="AH6" s="749"/>
      <c r="AI6" s="749" t="str">
        <f t="shared" ref="AI6:AI69" si="8">IF(AH6&lt;&gt;"","/","")</f>
        <v/>
      </c>
      <c r="AJ6" s="749"/>
      <c r="AK6" s="748"/>
      <c r="AL6" s="749"/>
      <c r="AM6" s="749" t="str">
        <f t="shared" ref="AM6:AM69" si="9">IF(AL6&lt;&gt;"","/","")</f>
        <v/>
      </c>
      <c r="AN6" s="749"/>
      <c r="AO6" s="748"/>
      <c r="AP6" s="749"/>
      <c r="AQ6" s="749" t="str">
        <f t="shared" ref="AQ6:AQ69" si="10">IF(AP6&lt;&gt;"","/","")</f>
        <v/>
      </c>
      <c r="AR6" s="750"/>
      <c r="AS6" s="751"/>
    </row>
    <row r="7" spans="1:45" x14ac:dyDescent="0.25">
      <c r="A7" s="748">
        <v>2</v>
      </c>
      <c r="B7" s="749" t="s">
        <v>250</v>
      </c>
      <c r="C7" s="749" t="str">
        <f t="shared" si="0"/>
        <v>/</v>
      </c>
      <c r="D7" s="749" t="s">
        <v>251</v>
      </c>
      <c r="E7" s="748"/>
      <c r="F7" s="749"/>
      <c r="G7" s="749" t="str">
        <f t="shared" si="1"/>
        <v/>
      </c>
      <c r="H7" s="749"/>
      <c r="I7" s="748"/>
      <c r="J7" s="749"/>
      <c r="K7" s="749" t="str">
        <f t="shared" si="2"/>
        <v/>
      </c>
      <c r="L7" s="749"/>
      <c r="M7" s="748"/>
      <c r="N7" s="749"/>
      <c r="O7" s="749" t="str">
        <f t="shared" si="3"/>
        <v/>
      </c>
      <c r="P7" s="749"/>
      <c r="Q7" s="748"/>
      <c r="R7" s="749"/>
      <c r="S7" s="749" t="str">
        <f t="shared" si="4"/>
        <v/>
      </c>
      <c r="T7" s="749"/>
      <c r="U7" s="748"/>
      <c r="V7" s="749"/>
      <c r="W7" s="749" t="str">
        <f t="shared" si="5"/>
        <v/>
      </c>
      <c r="X7" s="749"/>
      <c r="Y7" s="748"/>
      <c r="Z7" s="749"/>
      <c r="AA7" s="749" t="str">
        <f t="shared" si="6"/>
        <v/>
      </c>
      <c r="AB7" s="749"/>
      <c r="AC7" s="748"/>
      <c r="AD7" s="749"/>
      <c r="AE7" s="749" t="str">
        <f t="shared" si="7"/>
        <v/>
      </c>
      <c r="AF7" s="749"/>
      <c r="AG7" s="748"/>
      <c r="AH7" s="749"/>
      <c r="AI7" s="749" t="str">
        <f t="shared" si="8"/>
        <v/>
      </c>
      <c r="AJ7" s="749"/>
      <c r="AK7" s="748"/>
      <c r="AL7" s="749"/>
      <c r="AM7" s="749" t="str">
        <f t="shared" si="9"/>
        <v/>
      </c>
      <c r="AN7" s="749"/>
      <c r="AO7" s="748"/>
      <c r="AP7" s="749"/>
      <c r="AQ7" s="749" t="str">
        <f t="shared" si="10"/>
        <v/>
      </c>
      <c r="AR7" s="750"/>
      <c r="AS7" s="751"/>
    </row>
    <row r="8" spans="1:45" x14ac:dyDescent="0.25">
      <c r="A8" s="748"/>
      <c r="B8" s="749"/>
      <c r="C8" s="749" t="str">
        <f t="shared" si="0"/>
        <v/>
      </c>
      <c r="D8" s="749"/>
      <c r="E8" s="748"/>
      <c r="F8" s="749"/>
      <c r="G8" s="749" t="str">
        <f t="shared" si="1"/>
        <v/>
      </c>
      <c r="H8" s="749"/>
      <c r="I8" s="748">
        <v>1</v>
      </c>
      <c r="J8" s="749" t="s">
        <v>252</v>
      </c>
      <c r="K8" s="749" t="str">
        <f t="shared" si="2"/>
        <v>/</v>
      </c>
      <c r="L8" s="749" t="s">
        <v>253</v>
      </c>
      <c r="M8" s="748"/>
      <c r="N8" s="749"/>
      <c r="O8" s="749" t="str">
        <f t="shared" si="3"/>
        <v/>
      </c>
      <c r="P8" s="749"/>
      <c r="Q8" s="748"/>
      <c r="R8" s="749"/>
      <c r="S8" s="749" t="str">
        <f t="shared" si="4"/>
        <v/>
      </c>
      <c r="T8" s="749"/>
      <c r="U8" s="748"/>
      <c r="V8" s="749"/>
      <c r="W8" s="749" t="str">
        <f t="shared" si="5"/>
        <v/>
      </c>
      <c r="X8" s="749"/>
      <c r="Y8" s="748"/>
      <c r="Z8" s="749"/>
      <c r="AA8" s="749" t="str">
        <f t="shared" si="6"/>
        <v/>
      </c>
      <c r="AB8" s="749"/>
      <c r="AC8" s="748"/>
      <c r="AD8" s="749"/>
      <c r="AE8" s="749" t="str">
        <f t="shared" si="7"/>
        <v/>
      </c>
      <c r="AF8" s="749"/>
      <c r="AG8" s="748"/>
      <c r="AH8" s="749"/>
      <c r="AI8" s="749" t="str">
        <f t="shared" si="8"/>
        <v/>
      </c>
      <c r="AJ8" s="749"/>
      <c r="AK8" s="748"/>
      <c r="AL8" s="749"/>
      <c r="AM8" s="749" t="str">
        <f t="shared" si="9"/>
        <v/>
      </c>
      <c r="AN8" s="749"/>
      <c r="AO8" s="748"/>
      <c r="AP8" s="749"/>
      <c r="AQ8" s="749" t="str">
        <f t="shared" si="10"/>
        <v/>
      </c>
      <c r="AR8" s="750"/>
      <c r="AS8" s="751"/>
    </row>
    <row r="9" spans="1:45" x14ac:dyDescent="0.25">
      <c r="A9" s="748">
        <v>3</v>
      </c>
      <c r="B9" s="749" t="s">
        <v>254</v>
      </c>
      <c r="C9" s="749" t="str">
        <f t="shared" si="0"/>
        <v>/</v>
      </c>
      <c r="D9" s="749" t="s">
        <v>255</v>
      </c>
      <c r="E9" s="748"/>
      <c r="F9" s="749"/>
      <c r="G9" s="749" t="str">
        <f t="shared" si="1"/>
        <v/>
      </c>
      <c r="H9" s="749"/>
      <c r="I9" s="748"/>
      <c r="J9" s="749"/>
      <c r="K9" s="749" t="str">
        <f t="shared" si="2"/>
        <v/>
      </c>
      <c r="L9" s="749"/>
      <c r="M9" s="748"/>
      <c r="N9" s="749"/>
      <c r="O9" s="749" t="str">
        <f t="shared" si="3"/>
        <v/>
      </c>
      <c r="P9" s="749"/>
      <c r="Q9" s="748"/>
      <c r="R9" s="749"/>
      <c r="S9" s="749" t="str">
        <f t="shared" si="4"/>
        <v/>
      </c>
      <c r="T9" s="749"/>
      <c r="U9" s="748"/>
      <c r="V9" s="749"/>
      <c r="W9" s="749" t="str">
        <f t="shared" si="5"/>
        <v/>
      </c>
      <c r="X9" s="749"/>
      <c r="Y9" s="748"/>
      <c r="Z9" s="749"/>
      <c r="AA9" s="749" t="str">
        <f t="shared" si="6"/>
        <v/>
      </c>
      <c r="AB9" s="749"/>
      <c r="AC9" s="748"/>
      <c r="AD9" s="749"/>
      <c r="AE9" s="749" t="str">
        <f t="shared" si="7"/>
        <v/>
      </c>
      <c r="AF9" s="749"/>
      <c r="AG9" s="748"/>
      <c r="AH9" s="749"/>
      <c r="AI9" s="749" t="str">
        <f t="shared" si="8"/>
        <v/>
      </c>
      <c r="AJ9" s="749"/>
      <c r="AK9" s="748"/>
      <c r="AL9" s="749"/>
      <c r="AM9" s="749" t="str">
        <f t="shared" si="9"/>
        <v/>
      </c>
      <c r="AN9" s="749"/>
      <c r="AO9" s="748"/>
      <c r="AP9" s="749"/>
      <c r="AQ9" s="749" t="str">
        <f t="shared" si="10"/>
        <v/>
      </c>
      <c r="AR9" s="750"/>
      <c r="AS9" s="751"/>
    </row>
    <row r="10" spans="1:45" x14ac:dyDescent="0.25">
      <c r="A10" s="748"/>
      <c r="B10" s="749"/>
      <c r="C10" s="749" t="str">
        <f t="shared" si="0"/>
        <v/>
      </c>
      <c r="D10" s="749"/>
      <c r="E10" s="748">
        <v>2</v>
      </c>
      <c r="F10" s="749" t="s">
        <v>256</v>
      </c>
      <c r="G10" s="749" t="str">
        <f t="shared" si="1"/>
        <v>/</v>
      </c>
      <c r="H10" s="749" t="s">
        <v>257</v>
      </c>
      <c r="I10" s="748"/>
      <c r="J10" s="749"/>
      <c r="K10" s="749" t="str">
        <f t="shared" si="2"/>
        <v/>
      </c>
      <c r="L10" s="749"/>
      <c r="M10" s="748"/>
      <c r="N10" s="749"/>
      <c r="O10" s="749" t="str">
        <f t="shared" si="3"/>
        <v/>
      </c>
      <c r="P10" s="749"/>
      <c r="Q10" s="748"/>
      <c r="R10" s="749"/>
      <c r="S10" s="749" t="str">
        <f t="shared" si="4"/>
        <v/>
      </c>
      <c r="T10" s="749"/>
      <c r="U10" s="748"/>
      <c r="V10" s="749"/>
      <c r="W10" s="749" t="str">
        <f t="shared" si="5"/>
        <v/>
      </c>
      <c r="X10" s="749"/>
      <c r="Y10" s="748"/>
      <c r="Z10" s="749"/>
      <c r="AA10" s="749" t="str">
        <f t="shared" si="6"/>
        <v/>
      </c>
      <c r="AB10" s="749"/>
      <c r="AC10" s="748"/>
      <c r="AD10" s="749"/>
      <c r="AE10" s="749" t="str">
        <f t="shared" si="7"/>
        <v/>
      </c>
      <c r="AF10" s="749"/>
      <c r="AG10" s="748"/>
      <c r="AH10" s="749"/>
      <c r="AI10" s="749" t="str">
        <f t="shared" si="8"/>
        <v/>
      </c>
      <c r="AJ10" s="749"/>
      <c r="AK10" s="748"/>
      <c r="AL10" s="749"/>
      <c r="AM10" s="749" t="str">
        <f t="shared" si="9"/>
        <v/>
      </c>
      <c r="AN10" s="749"/>
      <c r="AO10" s="748"/>
      <c r="AP10" s="749"/>
      <c r="AQ10" s="749" t="str">
        <f t="shared" si="10"/>
        <v/>
      </c>
      <c r="AR10" s="750"/>
      <c r="AS10" s="751"/>
    </row>
    <row r="11" spans="1:45" x14ac:dyDescent="0.25">
      <c r="A11" s="748">
        <v>4</v>
      </c>
      <c r="B11" s="749" t="s">
        <v>258</v>
      </c>
      <c r="C11" s="749" t="str">
        <f t="shared" si="0"/>
        <v>/</v>
      </c>
      <c r="D11" s="749" t="s">
        <v>259</v>
      </c>
      <c r="E11" s="748"/>
      <c r="F11" s="749"/>
      <c r="G11" s="749" t="str">
        <f t="shared" si="1"/>
        <v/>
      </c>
      <c r="H11" s="749"/>
      <c r="I11" s="748"/>
      <c r="J11" s="749"/>
      <c r="K11" s="749" t="str">
        <f t="shared" si="2"/>
        <v/>
      </c>
      <c r="L11" s="749"/>
      <c r="M11" s="748"/>
      <c r="N11" s="749"/>
      <c r="O11" s="749" t="str">
        <f t="shared" si="3"/>
        <v/>
      </c>
      <c r="P11" s="749"/>
      <c r="Q11" s="748"/>
      <c r="R11" s="749"/>
      <c r="S11" s="749" t="str">
        <f t="shared" si="4"/>
        <v/>
      </c>
      <c r="T11" s="749"/>
      <c r="U11" s="748"/>
      <c r="V11" s="749"/>
      <c r="W11" s="749" t="str">
        <f t="shared" si="5"/>
        <v/>
      </c>
      <c r="X11" s="749"/>
      <c r="Y11" s="748"/>
      <c r="Z11" s="749"/>
      <c r="AA11" s="749" t="str">
        <f t="shared" si="6"/>
        <v/>
      </c>
      <c r="AB11" s="749"/>
      <c r="AC11" s="748"/>
      <c r="AD11" s="749"/>
      <c r="AE11" s="749" t="str">
        <f t="shared" si="7"/>
        <v/>
      </c>
      <c r="AF11" s="749"/>
      <c r="AG11" s="748"/>
      <c r="AH11" s="749"/>
      <c r="AI11" s="749" t="str">
        <f t="shared" si="8"/>
        <v/>
      </c>
      <c r="AJ11" s="749"/>
      <c r="AK11" s="748"/>
      <c r="AL11" s="749"/>
      <c r="AM11" s="749" t="str">
        <f t="shared" si="9"/>
        <v/>
      </c>
      <c r="AN11" s="749"/>
      <c r="AO11" s="748"/>
      <c r="AP11" s="749"/>
      <c r="AQ11" s="749" t="str">
        <f t="shared" si="10"/>
        <v/>
      </c>
      <c r="AR11" s="750"/>
      <c r="AS11" s="751"/>
    </row>
    <row r="12" spans="1:45" x14ac:dyDescent="0.25">
      <c r="A12" s="748"/>
      <c r="B12" s="749"/>
      <c r="C12" s="749" t="str">
        <f t="shared" si="0"/>
        <v/>
      </c>
      <c r="D12" s="749"/>
      <c r="E12" s="748"/>
      <c r="F12" s="749"/>
      <c r="G12" s="749" t="str">
        <f t="shared" si="1"/>
        <v/>
      </c>
      <c r="H12" s="749"/>
      <c r="I12" s="748"/>
      <c r="J12" s="749"/>
      <c r="K12" s="749" t="str">
        <f t="shared" si="2"/>
        <v/>
      </c>
      <c r="L12" s="749"/>
      <c r="M12" s="748">
        <v>1</v>
      </c>
      <c r="N12" s="749" t="s">
        <v>260</v>
      </c>
      <c r="O12" s="749" t="str">
        <f t="shared" si="3"/>
        <v>/</v>
      </c>
      <c r="P12" s="749" t="s">
        <v>261</v>
      </c>
      <c r="Q12" s="748"/>
      <c r="R12" s="749"/>
      <c r="S12" s="749" t="str">
        <f t="shared" si="4"/>
        <v/>
      </c>
      <c r="T12" s="749"/>
      <c r="U12" s="748"/>
      <c r="V12" s="749"/>
      <c r="W12" s="749" t="str">
        <f t="shared" si="5"/>
        <v/>
      </c>
      <c r="X12" s="749"/>
      <c r="Y12" s="748"/>
      <c r="Z12" s="749"/>
      <c r="AA12" s="749" t="str">
        <f t="shared" si="6"/>
        <v/>
      </c>
      <c r="AB12" s="749"/>
      <c r="AC12" s="748"/>
      <c r="AD12" s="749"/>
      <c r="AE12" s="749" t="str">
        <f t="shared" si="7"/>
        <v/>
      </c>
      <c r="AF12" s="749"/>
      <c r="AG12" s="748"/>
      <c r="AH12" s="749"/>
      <c r="AI12" s="749" t="str">
        <f t="shared" si="8"/>
        <v/>
      </c>
      <c r="AJ12" s="749"/>
      <c r="AK12" s="748"/>
      <c r="AL12" s="749"/>
      <c r="AM12" s="749" t="str">
        <f t="shared" si="9"/>
        <v/>
      </c>
      <c r="AN12" s="749"/>
      <c r="AO12" s="748"/>
      <c r="AP12" s="749"/>
      <c r="AQ12" s="749" t="str">
        <f t="shared" si="10"/>
        <v/>
      </c>
      <c r="AR12" s="750"/>
      <c r="AS12" s="751"/>
    </row>
    <row r="13" spans="1:45" x14ac:dyDescent="0.25">
      <c r="A13" s="748">
        <v>5</v>
      </c>
      <c r="B13" s="749" t="s">
        <v>262</v>
      </c>
      <c r="C13" s="749" t="str">
        <f t="shared" si="0"/>
        <v>/</v>
      </c>
      <c r="D13" s="749" t="s">
        <v>263</v>
      </c>
      <c r="E13" s="748"/>
      <c r="F13" s="749"/>
      <c r="G13" s="749" t="str">
        <f t="shared" si="1"/>
        <v/>
      </c>
      <c r="H13" s="749"/>
      <c r="I13" s="748"/>
      <c r="J13" s="749"/>
      <c r="K13" s="749" t="str">
        <f t="shared" si="2"/>
        <v/>
      </c>
      <c r="L13" s="749"/>
      <c r="M13" s="748"/>
      <c r="N13" s="749"/>
      <c r="O13" s="749" t="str">
        <f t="shared" si="3"/>
        <v/>
      </c>
      <c r="P13" s="749"/>
      <c r="Q13" s="748"/>
      <c r="R13" s="749"/>
      <c r="S13" s="749" t="str">
        <f t="shared" si="4"/>
        <v/>
      </c>
      <c r="T13" s="749"/>
      <c r="U13" s="748"/>
      <c r="V13" s="749"/>
      <c r="W13" s="749" t="str">
        <f t="shared" si="5"/>
        <v/>
      </c>
      <c r="X13" s="749"/>
      <c r="Y13" s="748"/>
      <c r="Z13" s="749"/>
      <c r="AA13" s="749" t="str">
        <f t="shared" si="6"/>
        <v/>
      </c>
      <c r="AB13" s="749"/>
      <c r="AC13" s="748"/>
      <c r="AD13" s="749"/>
      <c r="AE13" s="749" t="str">
        <f t="shared" si="7"/>
        <v/>
      </c>
      <c r="AF13" s="749"/>
      <c r="AG13" s="748"/>
      <c r="AH13" s="749"/>
      <c r="AI13" s="749" t="str">
        <f t="shared" si="8"/>
        <v/>
      </c>
      <c r="AJ13" s="749"/>
      <c r="AK13" s="748"/>
      <c r="AL13" s="749"/>
      <c r="AM13" s="749" t="str">
        <f t="shared" si="9"/>
        <v/>
      </c>
      <c r="AN13" s="749"/>
      <c r="AO13" s="748"/>
      <c r="AP13" s="749"/>
      <c r="AQ13" s="749" t="str">
        <f t="shared" si="10"/>
        <v/>
      </c>
      <c r="AR13" s="750"/>
      <c r="AS13" s="751"/>
    </row>
    <row r="14" spans="1:45" x14ac:dyDescent="0.25">
      <c r="A14" s="748"/>
      <c r="B14" s="749"/>
      <c r="C14" s="749" t="str">
        <f t="shared" si="0"/>
        <v/>
      </c>
      <c r="D14" s="749"/>
      <c r="E14" s="748">
        <v>3</v>
      </c>
      <c r="F14" s="749" t="s">
        <v>264</v>
      </c>
      <c r="G14" s="749" t="str">
        <f t="shared" si="1"/>
        <v>/</v>
      </c>
      <c r="H14" s="749" t="s">
        <v>265</v>
      </c>
      <c r="I14" s="748"/>
      <c r="J14" s="749"/>
      <c r="K14" s="749" t="str">
        <f t="shared" si="2"/>
        <v/>
      </c>
      <c r="L14" s="749"/>
      <c r="M14" s="748"/>
      <c r="N14" s="749"/>
      <c r="O14" s="749" t="str">
        <f t="shared" si="3"/>
        <v/>
      </c>
      <c r="P14" s="749"/>
      <c r="Q14" s="748"/>
      <c r="R14" s="749"/>
      <c r="S14" s="749" t="str">
        <f t="shared" si="4"/>
        <v/>
      </c>
      <c r="T14" s="749"/>
      <c r="U14" s="748"/>
      <c r="V14" s="749"/>
      <c r="W14" s="749" t="str">
        <f t="shared" si="5"/>
        <v/>
      </c>
      <c r="X14" s="749"/>
      <c r="Y14" s="748"/>
      <c r="Z14" s="749"/>
      <c r="AA14" s="749" t="str">
        <f t="shared" si="6"/>
        <v/>
      </c>
      <c r="AB14" s="749"/>
      <c r="AC14" s="748"/>
      <c r="AD14" s="749"/>
      <c r="AE14" s="749" t="str">
        <f t="shared" si="7"/>
        <v/>
      </c>
      <c r="AF14" s="749"/>
      <c r="AG14" s="748"/>
      <c r="AH14" s="749"/>
      <c r="AI14" s="749" t="str">
        <f t="shared" si="8"/>
        <v/>
      </c>
      <c r="AJ14" s="749"/>
      <c r="AK14" s="748"/>
      <c r="AL14" s="749"/>
      <c r="AM14" s="749" t="str">
        <f t="shared" si="9"/>
        <v/>
      </c>
      <c r="AN14" s="749"/>
      <c r="AO14" s="748"/>
      <c r="AP14" s="749"/>
      <c r="AQ14" s="749" t="str">
        <f t="shared" si="10"/>
        <v/>
      </c>
      <c r="AR14" s="750"/>
      <c r="AS14" s="751"/>
    </row>
    <row r="15" spans="1:45" x14ac:dyDescent="0.25">
      <c r="A15" s="748">
        <v>6</v>
      </c>
      <c r="B15" s="749" t="s">
        <v>266</v>
      </c>
      <c r="C15" s="749" t="str">
        <f t="shared" si="0"/>
        <v>/</v>
      </c>
      <c r="D15" s="749" t="s">
        <v>267</v>
      </c>
      <c r="E15" s="748"/>
      <c r="F15" s="749"/>
      <c r="G15" s="749" t="str">
        <f t="shared" si="1"/>
        <v/>
      </c>
      <c r="H15" s="749"/>
      <c r="I15" s="748"/>
      <c r="J15" s="749"/>
      <c r="K15" s="749" t="str">
        <f t="shared" si="2"/>
        <v/>
      </c>
      <c r="L15" s="749"/>
      <c r="M15" s="748"/>
      <c r="N15" s="749"/>
      <c r="O15" s="749" t="str">
        <f t="shared" si="3"/>
        <v/>
      </c>
      <c r="P15" s="749"/>
      <c r="Q15" s="748"/>
      <c r="R15" s="749"/>
      <c r="S15" s="749" t="str">
        <f t="shared" si="4"/>
        <v/>
      </c>
      <c r="T15" s="749"/>
      <c r="U15" s="748"/>
      <c r="V15" s="749"/>
      <c r="W15" s="749" t="str">
        <f t="shared" si="5"/>
        <v/>
      </c>
      <c r="X15" s="749"/>
      <c r="Y15" s="748"/>
      <c r="Z15" s="749"/>
      <c r="AA15" s="749" t="str">
        <f t="shared" si="6"/>
        <v/>
      </c>
      <c r="AB15" s="749"/>
      <c r="AC15" s="748"/>
      <c r="AD15" s="749"/>
      <c r="AE15" s="749" t="str">
        <f t="shared" si="7"/>
        <v/>
      </c>
      <c r="AF15" s="749"/>
      <c r="AG15" s="748"/>
      <c r="AH15" s="749"/>
      <c r="AI15" s="749" t="str">
        <f t="shared" si="8"/>
        <v/>
      </c>
      <c r="AJ15" s="749"/>
      <c r="AK15" s="748"/>
      <c r="AL15" s="749"/>
      <c r="AM15" s="749" t="str">
        <f t="shared" si="9"/>
        <v/>
      </c>
      <c r="AN15" s="749"/>
      <c r="AO15" s="748"/>
      <c r="AP15" s="749"/>
      <c r="AQ15" s="749" t="str">
        <f t="shared" si="10"/>
        <v/>
      </c>
      <c r="AR15" s="750"/>
      <c r="AS15" s="751"/>
    </row>
    <row r="16" spans="1:45" x14ac:dyDescent="0.25">
      <c r="A16" s="748"/>
      <c r="B16" s="749"/>
      <c r="C16" s="749" t="str">
        <f t="shared" si="0"/>
        <v/>
      </c>
      <c r="D16" s="749"/>
      <c r="E16" s="748"/>
      <c r="F16" s="749"/>
      <c r="G16" s="749" t="str">
        <f t="shared" si="1"/>
        <v/>
      </c>
      <c r="H16" s="749"/>
      <c r="I16" s="748">
        <v>2</v>
      </c>
      <c r="J16" s="749" t="s">
        <v>268</v>
      </c>
      <c r="K16" s="749" t="str">
        <f t="shared" si="2"/>
        <v>/</v>
      </c>
      <c r="L16" s="749" t="s">
        <v>269</v>
      </c>
      <c r="M16" s="748"/>
      <c r="N16" s="749"/>
      <c r="O16" s="749" t="str">
        <f t="shared" si="3"/>
        <v/>
      </c>
      <c r="P16" s="749"/>
      <c r="Q16" s="748">
        <v>1</v>
      </c>
      <c r="R16" s="749" t="s">
        <v>268</v>
      </c>
      <c r="S16" s="749" t="str">
        <f t="shared" si="4"/>
        <v>/</v>
      </c>
      <c r="T16" s="749" t="s">
        <v>269</v>
      </c>
      <c r="U16" s="748"/>
      <c r="V16" s="749"/>
      <c r="W16" s="749" t="str">
        <f t="shared" si="5"/>
        <v/>
      </c>
      <c r="X16" s="749"/>
      <c r="Y16" s="748"/>
      <c r="Z16" s="749"/>
      <c r="AA16" s="749" t="str">
        <f t="shared" si="6"/>
        <v/>
      </c>
      <c r="AB16" s="749"/>
      <c r="AC16" s="748"/>
      <c r="AD16" s="749"/>
      <c r="AE16" s="749" t="str">
        <f t="shared" si="7"/>
        <v/>
      </c>
      <c r="AF16" s="749"/>
      <c r="AG16" s="748"/>
      <c r="AH16" s="749"/>
      <c r="AI16" s="749" t="str">
        <f t="shared" si="8"/>
        <v/>
      </c>
      <c r="AJ16" s="749"/>
      <c r="AK16" s="748"/>
      <c r="AL16" s="749"/>
      <c r="AM16" s="749" t="str">
        <f t="shared" si="9"/>
        <v/>
      </c>
      <c r="AN16" s="749"/>
      <c r="AO16" s="748"/>
      <c r="AP16" s="749"/>
      <c r="AQ16" s="749" t="str">
        <f t="shared" si="10"/>
        <v/>
      </c>
      <c r="AR16" s="750"/>
      <c r="AS16" s="751"/>
    </row>
    <row r="17" spans="1:45" x14ac:dyDescent="0.25">
      <c r="A17" s="748">
        <v>7</v>
      </c>
      <c r="B17" s="749" t="s">
        <v>270</v>
      </c>
      <c r="C17" s="749" t="str">
        <f t="shared" si="0"/>
        <v>/</v>
      </c>
      <c r="D17" s="749" t="s">
        <v>271</v>
      </c>
      <c r="E17" s="748"/>
      <c r="F17" s="749"/>
      <c r="G17" s="749" t="str">
        <f t="shared" si="1"/>
        <v/>
      </c>
      <c r="H17" s="749"/>
      <c r="I17" s="748"/>
      <c r="J17" s="749"/>
      <c r="K17" s="749" t="str">
        <f t="shared" si="2"/>
        <v/>
      </c>
      <c r="L17" s="749"/>
      <c r="M17" s="748"/>
      <c r="N17" s="749"/>
      <c r="O17" s="749" t="str">
        <f t="shared" si="3"/>
        <v/>
      </c>
      <c r="P17" s="749"/>
      <c r="Q17" s="748"/>
      <c r="R17" s="749"/>
      <c r="S17" s="749" t="str">
        <f t="shared" si="4"/>
        <v/>
      </c>
      <c r="T17" s="749"/>
      <c r="U17" s="748"/>
      <c r="V17" s="749"/>
      <c r="W17" s="749" t="str">
        <f t="shared" si="5"/>
        <v/>
      </c>
      <c r="X17" s="749"/>
      <c r="Y17" s="748"/>
      <c r="Z17" s="749"/>
      <c r="AA17" s="749" t="str">
        <f t="shared" si="6"/>
        <v/>
      </c>
      <c r="AB17" s="749"/>
      <c r="AC17" s="748"/>
      <c r="AD17" s="749"/>
      <c r="AE17" s="749" t="str">
        <f t="shared" si="7"/>
        <v/>
      </c>
      <c r="AF17" s="749"/>
      <c r="AG17" s="748"/>
      <c r="AH17" s="749"/>
      <c r="AI17" s="749" t="str">
        <f t="shared" si="8"/>
        <v/>
      </c>
      <c r="AJ17" s="749"/>
      <c r="AK17" s="748"/>
      <c r="AL17" s="749"/>
      <c r="AM17" s="749" t="str">
        <f t="shared" si="9"/>
        <v/>
      </c>
      <c r="AN17" s="749"/>
      <c r="AO17" s="748"/>
      <c r="AP17" s="749"/>
      <c r="AQ17" s="749" t="str">
        <f t="shared" si="10"/>
        <v/>
      </c>
      <c r="AR17" s="750"/>
      <c r="AS17" s="751"/>
    </row>
    <row r="18" spans="1:45" x14ac:dyDescent="0.25">
      <c r="A18" s="748"/>
      <c r="B18" s="749"/>
      <c r="C18" s="749" t="str">
        <f t="shared" si="0"/>
        <v/>
      </c>
      <c r="D18" s="749"/>
      <c r="E18" s="748">
        <v>4</v>
      </c>
      <c r="F18" s="749" t="s">
        <v>272</v>
      </c>
      <c r="G18" s="749" t="str">
        <f t="shared" si="1"/>
        <v>/</v>
      </c>
      <c r="H18" s="749" t="s">
        <v>273</v>
      </c>
      <c r="I18" s="748"/>
      <c r="J18" s="749"/>
      <c r="K18" s="749" t="str">
        <f t="shared" si="2"/>
        <v/>
      </c>
      <c r="L18" s="749"/>
      <c r="M18" s="748"/>
      <c r="N18" s="749"/>
      <c r="O18" s="749" t="str">
        <f t="shared" si="3"/>
        <v/>
      </c>
      <c r="P18" s="749"/>
      <c r="Q18" s="748"/>
      <c r="R18" s="749"/>
      <c r="S18" s="749" t="str">
        <f t="shared" si="4"/>
        <v/>
      </c>
      <c r="T18" s="749"/>
      <c r="U18" s="748"/>
      <c r="V18" s="749"/>
      <c r="W18" s="749" t="str">
        <f t="shared" si="5"/>
        <v/>
      </c>
      <c r="X18" s="749"/>
      <c r="Y18" s="748"/>
      <c r="Z18" s="749"/>
      <c r="AA18" s="749" t="str">
        <f t="shared" si="6"/>
        <v/>
      </c>
      <c r="AB18" s="749"/>
      <c r="AC18" s="748"/>
      <c r="AD18" s="749"/>
      <c r="AE18" s="749" t="str">
        <f t="shared" si="7"/>
        <v/>
      </c>
      <c r="AF18" s="749"/>
      <c r="AG18" s="748"/>
      <c r="AH18" s="749"/>
      <c r="AI18" s="749" t="str">
        <f t="shared" si="8"/>
        <v/>
      </c>
      <c r="AJ18" s="749"/>
      <c r="AK18" s="748"/>
      <c r="AL18" s="749"/>
      <c r="AM18" s="749" t="str">
        <f t="shared" si="9"/>
        <v/>
      </c>
      <c r="AN18" s="749"/>
      <c r="AO18" s="748"/>
      <c r="AP18" s="749"/>
      <c r="AQ18" s="749" t="str">
        <f t="shared" si="10"/>
        <v/>
      </c>
      <c r="AR18" s="750"/>
      <c r="AS18" s="751"/>
    </row>
    <row r="19" spans="1:45" x14ac:dyDescent="0.25">
      <c r="A19" s="748">
        <v>8</v>
      </c>
      <c r="B19" s="749" t="s">
        <v>274</v>
      </c>
      <c r="C19" s="749" t="str">
        <f t="shared" si="0"/>
        <v>/</v>
      </c>
      <c r="D19" s="749" t="s">
        <v>275</v>
      </c>
      <c r="E19" s="748"/>
      <c r="F19" s="749"/>
      <c r="G19" s="749" t="str">
        <f t="shared" si="1"/>
        <v/>
      </c>
      <c r="H19" s="749"/>
      <c r="I19" s="748"/>
      <c r="J19" s="749"/>
      <c r="K19" s="749" t="str">
        <f t="shared" si="2"/>
        <v/>
      </c>
      <c r="L19" s="749"/>
      <c r="M19" s="748"/>
      <c r="N19" s="749"/>
      <c r="O19" s="749" t="str">
        <f t="shared" si="3"/>
        <v/>
      </c>
      <c r="P19" s="749"/>
      <c r="Q19" s="748"/>
      <c r="R19" s="749"/>
      <c r="S19" s="749" t="str">
        <f t="shared" si="4"/>
        <v/>
      </c>
      <c r="T19" s="749"/>
      <c r="U19" s="748"/>
      <c r="V19" s="749"/>
      <c r="W19" s="749" t="str">
        <f t="shared" si="5"/>
        <v/>
      </c>
      <c r="X19" s="749"/>
      <c r="Y19" s="748"/>
      <c r="Z19" s="749"/>
      <c r="AA19" s="749" t="str">
        <f t="shared" si="6"/>
        <v/>
      </c>
      <c r="AB19" s="749"/>
      <c r="AC19" s="748"/>
      <c r="AD19" s="749"/>
      <c r="AE19" s="749" t="str">
        <f t="shared" si="7"/>
        <v/>
      </c>
      <c r="AF19" s="749"/>
      <c r="AG19" s="748"/>
      <c r="AH19" s="749"/>
      <c r="AI19" s="749" t="str">
        <f t="shared" si="8"/>
        <v/>
      </c>
      <c r="AJ19" s="749"/>
      <c r="AK19" s="748"/>
      <c r="AL19" s="749"/>
      <c r="AM19" s="749" t="str">
        <f t="shared" si="9"/>
        <v/>
      </c>
      <c r="AN19" s="749"/>
      <c r="AO19" s="748"/>
      <c r="AP19" s="749"/>
      <c r="AQ19" s="749" t="str">
        <f t="shared" si="10"/>
        <v/>
      </c>
      <c r="AR19" s="750"/>
      <c r="AS19" s="751"/>
    </row>
    <row r="20" spans="1:45" x14ac:dyDescent="0.25">
      <c r="A20" s="748"/>
      <c r="B20" s="749"/>
      <c r="C20" s="749" t="str">
        <f t="shared" si="0"/>
        <v/>
      </c>
      <c r="D20" s="749"/>
      <c r="E20" s="748"/>
      <c r="F20" s="749"/>
      <c r="G20" s="749" t="str">
        <f t="shared" si="1"/>
        <v/>
      </c>
      <c r="H20" s="749"/>
      <c r="I20" s="748"/>
      <c r="J20" s="749"/>
      <c r="K20" s="749" t="str">
        <f t="shared" si="2"/>
        <v/>
      </c>
      <c r="L20" s="749"/>
      <c r="M20" s="748"/>
      <c r="N20" s="749"/>
      <c r="O20" s="749" t="str">
        <f t="shared" si="3"/>
        <v/>
      </c>
      <c r="P20" s="749"/>
      <c r="Q20" s="748"/>
      <c r="R20" s="749"/>
      <c r="S20" s="749" t="str">
        <f t="shared" si="4"/>
        <v/>
      </c>
      <c r="T20" s="749"/>
      <c r="U20" s="748">
        <v>1</v>
      </c>
      <c r="V20" s="749" t="s">
        <v>276</v>
      </c>
      <c r="W20" s="749" t="str">
        <f t="shared" si="5"/>
        <v>/</v>
      </c>
      <c r="X20" s="749" t="s">
        <v>277</v>
      </c>
      <c r="Y20" s="748"/>
      <c r="Z20" s="749"/>
      <c r="AA20" s="749" t="str">
        <f t="shared" si="6"/>
        <v/>
      </c>
      <c r="AB20" s="749"/>
      <c r="AC20" s="748"/>
      <c r="AD20" s="749"/>
      <c r="AE20" s="749" t="str">
        <f t="shared" si="7"/>
        <v/>
      </c>
      <c r="AF20" s="749"/>
      <c r="AG20" s="748"/>
      <c r="AH20" s="749"/>
      <c r="AI20" s="749" t="str">
        <f t="shared" si="8"/>
        <v/>
      </c>
      <c r="AJ20" s="749"/>
      <c r="AK20" s="748"/>
      <c r="AL20" s="749"/>
      <c r="AM20" s="749" t="str">
        <f t="shared" si="9"/>
        <v/>
      </c>
      <c r="AN20" s="749"/>
      <c r="AO20" s="748"/>
      <c r="AP20" s="749"/>
      <c r="AQ20" s="749" t="str">
        <f t="shared" si="10"/>
        <v/>
      </c>
      <c r="AR20" s="750"/>
      <c r="AS20" s="751"/>
    </row>
    <row r="21" spans="1:45" x14ac:dyDescent="0.25">
      <c r="A21" s="748">
        <v>9</v>
      </c>
      <c r="B21" s="749" t="s">
        <v>278</v>
      </c>
      <c r="C21" s="749" t="str">
        <f t="shared" si="0"/>
        <v>/</v>
      </c>
      <c r="D21" s="749" t="s">
        <v>279</v>
      </c>
      <c r="E21" s="748"/>
      <c r="F21" s="749"/>
      <c r="G21" s="749" t="str">
        <f t="shared" si="1"/>
        <v/>
      </c>
      <c r="H21" s="749"/>
      <c r="I21" s="748"/>
      <c r="J21" s="749"/>
      <c r="K21" s="749" t="str">
        <f t="shared" si="2"/>
        <v/>
      </c>
      <c r="L21" s="749"/>
      <c r="M21" s="748"/>
      <c r="N21" s="749"/>
      <c r="O21" s="749" t="str">
        <f t="shared" si="3"/>
        <v/>
      </c>
      <c r="P21" s="749"/>
      <c r="Q21" s="748"/>
      <c r="R21" s="749"/>
      <c r="S21" s="749" t="str">
        <f t="shared" si="4"/>
        <v/>
      </c>
      <c r="T21" s="749"/>
      <c r="U21" s="748"/>
      <c r="V21" s="749"/>
      <c r="W21" s="749"/>
      <c r="X21" s="749"/>
      <c r="Y21" s="748"/>
      <c r="Z21" s="749"/>
      <c r="AA21" s="749" t="str">
        <f t="shared" si="6"/>
        <v/>
      </c>
      <c r="AB21" s="749"/>
      <c r="AC21" s="748"/>
      <c r="AD21" s="749"/>
      <c r="AE21" s="749"/>
      <c r="AF21" s="749"/>
      <c r="AG21" s="748"/>
      <c r="AH21" s="749"/>
      <c r="AI21" s="749" t="str">
        <f t="shared" si="8"/>
        <v/>
      </c>
      <c r="AJ21" s="749"/>
      <c r="AK21" s="748"/>
      <c r="AL21" s="749"/>
      <c r="AM21" s="749" t="str">
        <f t="shared" si="9"/>
        <v/>
      </c>
      <c r="AN21" s="749"/>
      <c r="AO21" s="748"/>
      <c r="AP21" s="749"/>
      <c r="AQ21" s="749" t="str">
        <f t="shared" si="10"/>
        <v/>
      </c>
      <c r="AR21" s="750"/>
      <c r="AS21" s="751"/>
    </row>
    <row r="22" spans="1:45" x14ac:dyDescent="0.25">
      <c r="A22" s="748"/>
      <c r="B22" s="749"/>
      <c r="C22" s="749" t="str">
        <f t="shared" si="0"/>
        <v/>
      </c>
      <c r="D22" s="749"/>
      <c r="E22" s="748">
        <v>5</v>
      </c>
      <c r="F22" s="749" t="s">
        <v>280</v>
      </c>
      <c r="G22" s="749" t="str">
        <f t="shared" si="1"/>
        <v>/</v>
      </c>
      <c r="H22" s="749" t="s">
        <v>281</v>
      </c>
      <c r="I22" s="748"/>
      <c r="J22" s="749"/>
      <c r="K22" s="749" t="str">
        <f t="shared" si="2"/>
        <v/>
      </c>
      <c r="L22" s="749"/>
      <c r="M22" s="748"/>
      <c r="N22" s="749"/>
      <c r="O22" s="749" t="str">
        <f t="shared" si="3"/>
        <v/>
      </c>
      <c r="P22" s="749"/>
      <c r="Q22" s="748"/>
      <c r="R22" s="749"/>
      <c r="S22" s="749" t="str">
        <f t="shared" si="4"/>
        <v/>
      </c>
      <c r="T22" s="749"/>
      <c r="U22" s="748"/>
      <c r="V22" s="749"/>
      <c r="W22" s="749"/>
      <c r="X22" s="749"/>
      <c r="Y22" s="748"/>
      <c r="Z22" s="749"/>
      <c r="AA22" s="749" t="str">
        <f t="shared" si="6"/>
        <v/>
      </c>
      <c r="AB22" s="749"/>
      <c r="AC22" s="748"/>
      <c r="AD22" s="749"/>
      <c r="AE22" s="749"/>
      <c r="AF22" s="749"/>
      <c r="AG22" s="748"/>
      <c r="AH22" s="749"/>
      <c r="AI22" s="749" t="str">
        <f t="shared" si="8"/>
        <v/>
      </c>
      <c r="AJ22" s="749"/>
      <c r="AK22" s="748"/>
      <c r="AL22" s="749"/>
      <c r="AM22" s="749" t="str">
        <f t="shared" si="9"/>
        <v/>
      </c>
      <c r="AN22" s="749"/>
      <c r="AO22" s="748"/>
      <c r="AP22" s="749"/>
      <c r="AQ22" s="749" t="str">
        <f t="shared" si="10"/>
        <v/>
      </c>
      <c r="AR22" s="750"/>
      <c r="AS22" s="751"/>
    </row>
    <row r="23" spans="1:45" x14ac:dyDescent="0.25">
      <c r="A23" s="748">
        <v>10</v>
      </c>
      <c r="B23" s="749" t="s">
        <v>282</v>
      </c>
      <c r="C23" s="749" t="str">
        <f t="shared" si="0"/>
        <v>/</v>
      </c>
      <c r="D23" s="749" t="s">
        <v>283</v>
      </c>
      <c r="E23" s="748"/>
      <c r="F23" s="749"/>
      <c r="G23" s="749" t="str">
        <f t="shared" si="1"/>
        <v/>
      </c>
      <c r="H23" s="749"/>
      <c r="I23" s="748"/>
      <c r="J23" s="749"/>
      <c r="K23" s="749" t="str">
        <f t="shared" si="2"/>
        <v/>
      </c>
      <c r="L23" s="749"/>
      <c r="M23" s="748"/>
      <c r="N23" s="749"/>
      <c r="O23" s="749" t="str">
        <f t="shared" si="3"/>
        <v/>
      </c>
      <c r="P23" s="749"/>
      <c r="Q23" s="748"/>
      <c r="R23" s="749"/>
      <c r="S23" s="749" t="str">
        <f t="shared" si="4"/>
        <v/>
      </c>
      <c r="T23" s="749"/>
      <c r="U23" s="748"/>
      <c r="V23" s="749"/>
      <c r="W23" s="749"/>
      <c r="X23" s="749"/>
      <c r="Y23" s="748"/>
      <c r="Z23" s="749"/>
      <c r="AA23" s="749" t="str">
        <f t="shared" si="6"/>
        <v/>
      </c>
      <c r="AB23" s="749"/>
      <c r="AC23" s="748"/>
      <c r="AD23" s="749"/>
      <c r="AE23" s="749"/>
      <c r="AF23" s="749"/>
      <c r="AG23" s="748"/>
      <c r="AH23" s="749"/>
      <c r="AI23" s="749" t="str">
        <f t="shared" si="8"/>
        <v/>
      </c>
      <c r="AJ23" s="749"/>
      <c r="AK23" s="748"/>
      <c r="AL23" s="749"/>
      <c r="AM23" s="749" t="str">
        <f t="shared" si="9"/>
        <v/>
      </c>
      <c r="AN23" s="749"/>
      <c r="AO23" s="748"/>
      <c r="AP23" s="749"/>
      <c r="AQ23" s="749" t="str">
        <f t="shared" si="10"/>
        <v/>
      </c>
      <c r="AR23" s="750"/>
      <c r="AS23" s="751"/>
    </row>
    <row r="24" spans="1:45" x14ac:dyDescent="0.25">
      <c r="A24" s="748"/>
      <c r="B24" s="749"/>
      <c r="C24" s="749" t="str">
        <f t="shared" si="0"/>
        <v/>
      </c>
      <c r="D24" s="749"/>
      <c r="E24" s="748"/>
      <c r="F24" s="749"/>
      <c r="G24" s="749" t="str">
        <f t="shared" si="1"/>
        <v/>
      </c>
      <c r="H24" s="749"/>
      <c r="I24" s="748">
        <v>3</v>
      </c>
      <c r="J24" s="749" t="s">
        <v>284</v>
      </c>
      <c r="K24" s="749" t="str">
        <f t="shared" si="2"/>
        <v>/</v>
      </c>
      <c r="L24" s="749" t="s">
        <v>285</v>
      </c>
      <c r="M24" s="748"/>
      <c r="N24" s="749"/>
      <c r="O24" s="749" t="str">
        <f t="shared" si="3"/>
        <v/>
      </c>
      <c r="P24" s="749"/>
      <c r="Q24" s="748"/>
      <c r="R24" s="749"/>
      <c r="S24" s="749" t="str">
        <f t="shared" si="4"/>
        <v/>
      </c>
      <c r="T24" s="749"/>
      <c r="U24" s="748"/>
      <c r="V24" s="749"/>
      <c r="W24" s="749" t="str">
        <f t="shared" si="5"/>
        <v/>
      </c>
      <c r="X24" s="749"/>
      <c r="Y24" s="748">
        <v>1</v>
      </c>
      <c r="Z24" s="749" t="s">
        <v>284</v>
      </c>
      <c r="AA24" s="749" t="str">
        <f t="shared" si="6"/>
        <v>/</v>
      </c>
      <c r="AB24" s="749" t="s">
        <v>285</v>
      </c>
      <c r="AC24" s="748"/>
      <c r="AD24" s="749"/>
      <c r="AE24" s="749" t="str">
        <f t="shared" si="7"/>
        <v/>
      </c>
      <c r="AF24" s="749"/>
      <c r="AG24" s="748"/>
      <c r="AH24" s="749"/>
      <c r="AI24" s="749" t="str">
        <f t="shared" si="8"/>
        <v/>
      </c>
      <c r="AJ24" s="749"/>
      <c r="AK24" s="748"/>
      <c r="AL24" s="749"/>
      <c r="AM24" s="749" t="str">
        <f t="shared" si="9"/>
        <v/>
      </c>
      <c r="AN24" s="749"/>
      <c r="AO24" s="748"/>
      <c r="AP24" s="749"/>
      <c r="AQ24" s="749" t="str">
        <f t="shared" si="10"/>
        <v/>
      </c>
      <c r="AR24" s="750"/>
      <c r="AS24" s="751"/>
    </row>
    <row r="25" spans="1:45" x14ac:dyDescent="0.25">
      <c r="A25" s="748">
        <v>11</v>
      </c>
      <c r="B25" s="749" t="s">
        <v>286</v>
      </c>
      <c r="C25" s="749" t="str">
        <f t="shared" si="0"/>
        <v>/</v>
      </c>
      <c r="D25" s="749" t="s">
        <v>287</v>
      </c>
      <c r="E25" s="748"/>
      <c r="F25" s="749"/>
      <c r="G25" s="749" t="str">
        <f t="shared" si="1"/>
        <v/>
      </c>
      <c r="H25" s="749"/>
      <c r="I25" s="748"/>
      <c r="J25" s="749"/>
      <c r="K25" s="749" t="str">
        <f t="shared" si="2"/>
        <v/>
      </c>
      <c r="L25" s="749"/>
      <c r="M25" s="748"/>
      <c r="N25" s="749"/>
      <c r="O25" s="749" t="str">
        <f t="shared" si="3"/>
        <v/>
      </c>
      <c r="P25" s="749"/>
      <c r="Q25" s="748"/>
      <c r="R25" s="749"/>
      <c r="S25" s="749" t="str">
        <f t="shared" si="4"/>
        <v/>
      </c>
      <c r="T25" s="749"/>
      <c r="U25" s="748"/>
      <c r="V25" s="749"/>
      <c r="W25" s="749" t="str">
        <f t="shared" si="5"/>
        <v/>
      </c>
      <c r="X25" s="749"/>
      <c r="Y25" s="748"/>
      <c r="Z25" s="749"/>
      <c r="AA25" s="749" t="str">
        <f t="shared" si="6"/>
        <v/>
      </c>
      <c r="AB25" s="749"/>
      <c r="AC25" s="748"/>
      <c r="AD25" s="749"/>
      <c r="AE25" s="749" t="str">
        <f t="shared" si="7"/>
        <v/>
      </c>
      <c r="AF25" s="749"/>
      <c r="AG25" s="748"/>
      <c r="AH25" s="749"/>
      <c r="AI25" s="749" t="str">
        <f t="shared" si="8"/>
        <v/>
      </c>
      <c r="AJ25" s="749"/>
      <c r="AK25" s="748"/>
      <c r="AL25" s="749"/>
      <c r="AM25" s="749" t="str">
        <f t="shared" si="9"/>
        <v/>
      </c>
      <c r="AN25" s="749"/>
      <c r="AO25" s="748"/>
      <c r="AP25" s="749"/>
      <c r="AQ25" s="749" t="str">
        <f t="shared" si="10"/>
        <v/>
      </c>
      <c r="AR25" s="750"/>
      <c r="AS25" s="751"/>
    </row>
    <row r="26" spans="1:45" x14ac:dyDescent="0.25">
      <c r="A26" s="748"/>
      <c r="B26" s="749"/>
      <c r="C26" s="749" t="str">
        <f t="shared" si="0"/>
        <v/>
      </c>
      <c r="D26" s="749"/>
      <c r="E26" s="748">
        <v>6</v>
      </c>
      <c r="F26" s="749" t="s">
        <v>288</v>
      </c>
      <c r="G26" s="749" t="str">
        <f t="shared" si="1"/>
        <v>/</v>
      </c>
      <c r="H26" s="749" t="s">
        <v>289</v>
      </c>
      <c r="I26" s="748"/>
      <c r="J26" s="749"/>
      <c r="K26" s="749" t="str">
        <f t="shared" si="2"/>
        <v/>
      </c>
      <c r="L26" s="749"/>
      <c r="M26" s="748"/>
      <c r="N26" s="749"/>
      <c r="O26" s="749" t="str">
        <f t="shared" si="3"/>
        <v/>
      </c>
      <c r="P26" s="749"/>
      <c r="Q26" s="748"/>
      <c r="R26" s="749"/>
      <c r="S26" s="749" t="str">
        <f t="shared" si="4"/>
        <v/>
      </c>
      <c r="T26" s="749"/>
      <c r="U26" s="748"/>
      <c r="V26" s="749"/>
      <c r="W26" s="749" t="str">
        <f t="shared" si="5"/>
        <v/>
      </c>
      <c r="X26" s="749"/>
      <c r="Y26" s="748"/>
      <c r="Z26" s="749"/>
      <c r="AA26" s="749" t="str">
        <f t="shared" si="6"/>
        <v/>
      </c>
      <c r="AB26" s="749"/>
      <c r="AC26" s="748"/>
      <c r="AD26" s="749"/>
      <c r="AE26" s="749" t="str">
        <f t="shared" si="7"/>
        <v/>
      </c>
      <c r="AF26" s="749"/>
      <c r="AG26" s="748"/>
      <c r="AH26" s="749"/>
      <c r="AI26" s="749" t="str">
        <f t="shared" si="8"/>
        <v/>
      </c>
      <c r="AJ26" s="749"/>
      <c r="AK26" s="748"/>
      <c r="AL26" s="749"/>
      <c r="AM26" s="749" t="str">
        <f t="shared" si="9"/>
        <v/>
      </c>
      <c r="AN26" s="749"/>
      <c r="AO26" s="748"/>
      <c r="AP26" s="749"/>
      <c r="AQ26" s="749" t="str">
        <f t="shared" si="10"/>
        <v/>
      </c>
      <c r="AR26" s="750"/>
      <c r="AS26" s="751"/>
    </row>
    <row r="27" spans="1:45" x14ac:dyDescent="0.25">
      <c r="A27" s="748">
        <v>12</v>
      </c>
      <c r="B27" s="749" t="s">
        <v>290</v>
      </c>
      <c r="C27" s="749" t="str">
        <f t="shared" si="0"/>
        <v>/</v>
      </c>
      <c r="D27" s="749" t="s">
        <v>291</v>
      </c>
      <c r="E27" s="748"/>
      <c r="F27" s="749"/>
      <c r="G27" s="749" t="str">
        <f t="shared" si="1"/>
        <v/>
      </c>
      <c r="H27" s="749"/>
      <c r="I27" s="748"/>
      <c r="J27" s="749"/>
      <c r="K27" s="749" t="str">
        <f t="shared" si="2"/>
        <v/>
      </c>
      <c r="L27" s="749"/>
      <c r="M27" s="748"/>
      <c r="N27" s="749"/>
      <c r="O27" s="749" t="str">
        <f t="shared" si="3"/>
        <v/>
      </c>
      <c r="P27" s="749"/>
      <c r="Q27" s="748"/>
      <c r="R27" s="749"/>
      <c r="S27" s="749" t="str">
        <f t="shared" si="4"/>
        <v/>
      </c>
      <c r="T27" s="749"/>
      <c r="U27" s="748"/>
      <c r="V27" s="749"/>
      <c r="W27" s="749" t="str">
        <f t="shared" si="5"/>
        <v/>
      </c>
      <c r="X27" s="749"/>
      <c r="Y27" s="748"/>
      <c r="Z27" s="749"/>
      <c r="AA27" s="749" t="str">
        <f t="shared" si="6"/>
        <v/>
      </c>
      <c r="AB27" s="749"/>
      <c r="AC27" s="748"/>
      <c r="AD27" s="749"/>
      <c r="AE27" s="749" t="str">
        <f t="shared" si="7"/>
        <v/>
      </c>
      <c r="AF27" s="749"/>
      <c r="AG27" s="748"/>
      <c r="AH27" s="749"/>
      <c r="AI27" s="749" t="str">
        <f t="shared" si="8"/>
        <v/>
      </c>
      <c r="AJ27" s="749"/>
      <c r="AK27" s="748"/>
      <c r="AL27" s="749"/>
      <c r="AM27" s="749" t="str">
        <f t="shared" si="9"/>
        <v/>
      </c>
      <c r="AN27" s="749"/>
      <c r="AO27" s="748"/>
      <c r="AP27" s="749"/>
      <c r="AQ27" s="749" t="str">
        <f t="shared" si="10"/>
        <v/>
      </c>
      <c r="AR27" s="750"/>
      <c r="AS27" s="751"/>
    </row>
    <row r="28" spans="1:45" x14ac:dyDescent="0.25">
      <c r="A28" s="748"/>
      <c r="B28" s="749"/>
      <c r="C28" s="749" t="str">
        <f t="shared" si="0"/>
        <v/>
      </c>
      <c r="D28" s="749"/>
      <c r="E28" s="748"/>
      <c r="F28" s="749"/>
      <c r="G28" s="749" t="str">
        <f t="shared" si="1"/>
        <v/>
      </c>
      <c r="H28" s="749"/>
      <c r="I28" s="748"/>
      <c r="J28" s="749"/>
      <c r="K28" s="749" t="str">
        <f t="shared" si="2"/>
        <v/>
      </c>
      <c r="L28" s="749"/>
      <c r="M28" s="748">
        <v>2</v>
      </c>
      <c r="N28" s="749" t="s">
        <v>292</v>
      </c>
      <c r="O28" s="749" t="str">
        <f t="shared" si="3"/>
        <v>/</v>
      </c>
      <c r="P28" s="749" t="s">
        <v>293</v>
      </c>
      <c r="Q28" s="748"/>
      <c r="R28" s="749"/>
      <c r="S28" s="749" t="str">
        <f t="shared" si="4"/>
        <v/>
      </c>
      <c r="T28" s="749"/>
      <c r="U28" s="748"/>
      <c r="V28" s="749"/>
      <c r="W28" s="749" t="str">
        <f t="shared" si="5"/>
        <v/>
      </c>
      <c r="X28" s="749"/>
      <c r="Y28" s="748"/>
      <c r="Z28" s="749"/>
      <c r="AA28" s="749" t="str">
        <f t="shared" si="6"/>
        <v/>
      </c>
      <c r="AB28" s="749"/>
      <c r="AC28" s="748">
        <v>1</v>
      </c>
      <c r="AD28" s="749" t="s">
        <v>292</v>
      </c>
      <c r="AE28" s="749" t="str">
        <f t="shared" si="7"/>
        <v>/</v>
      </c>
      <c r="AF28" s="749" t="s">
        <v>293</v>
      </c>
      <c r="AG28" s="748"/>
      <c r="AH28" s="749"/>
      <c r="AI28" s="749" t="str">
        <f t="shared" si="8"/>
        <v/>
      </c>
      <c r="AJ28" s="749"/>
      <c r="AK28" s="748"/>
      <c r="AL28" s="749"/>
      <c r="AM28" s="749" t="str">
        <f t="shared" si="9"/>
        <v/>
      </c>
      <c r="AN28" s="749"/>
      <c r="AO28" s="748"/>
      <c r="AP28" s="749"/>
      <c r="AQ28" s="749" t="str">
        <f t="shared" si="10"/>
        <v/>
      </c>
      <c r="AR28" s="750"/>
      <c r="AS28" s="751"/>
    </row>
    <row r="29" spans="1:45" x14ac:dyDescent="0.25">
      <c r="A29" s="748">
        <v>13</v>
      </c>
      <c r="B29" s="749" t="s">
        <v>294</v>
      </c>
      <c r="C29" s="749" t="str">
        <f t="shared" si="0"/>
        <v>/</v>
      </c>
      <c r="D29" s="749" t="s">
        <v>295</v>
      </c>
      <c r="E29" s="748"/>
      <c r="F29" s="749"/>
      <c r="G29" s="749" t="str">
        <f t="shared" si="1"/>
        <v/>
      </c>
      <c r="H29" s="749"/>
      <c r="I29" s="748"/>
      <c r="J29" s="749"/>
      <c r="K29" s="749" t="str">
        <f t="shared" si="2"/>
        <v/>
      </c>
      <c r="L29" s="749"/>
      <c r="M29" s="748"/>
      <c r="N29" s="749"/>
      <c r="O29" s="749" t="str">
        <f t="shared" si="3"/>
        <v/>
      </c>
      <c r="P29" s="749"/>
      <c r="Q29" s="748"/>
      <c r="R29" s="749"/>
      <c r="S29" s="749" t="str">
        <f t="shared" si="4"/>
        <v/>
      </c>
      <c r="T29" s="749"/>
      <c r="U29" s="748"/>
      <c r="V29" s="749"/>
      <c r="W29" s="749" t="str">
        <f t="shared" si="5"/>
        <v/>
      </c>
      <c r="X29" s="749"/>
      <c r="Y29" s="748"/>
      <c r="Z29" s="749"/>
      <c r="AA29" s="749" t="str">
        <f t="shared" si="6"/>
        <v/>
      </c>
      <c r="AB29" s="749"/>
      <c r="AC29" s="748"/>
      <c r="AD29" s="749"/>
      <c r="AE29" s="749" t="str">
        <f t="shared" si="7"/>
        <v/>
      </c>
      <c r="AF29" s="749"/>
      <c r="AG29" s="748"/>
      <c r="AH29" s="749"/>
      <c r="AI29" s="749" t="str">
        <f t="shared" si="8"/>
        <v/>
      </c>
      <c r="AJ29" s="749"/>
      <c r="AK29" s="748"/>
      <c r="AL29" s="749"/>
      <c r="AM29" s="749" t="str">
        <f t="shared" si="9"/>
        <v/>
      </c>
      <c r="AN29" s="749"/>
      <c r="AO29" s="748"/>
      <c r="AP29" s="749"/>
      <c r="AQ29" s="749" t="str">
        <f t="shared" si="10"/>
        <v/>
      </c>
      <c r="AR29" s="750"/>
      <c r="AS29" s="751"/>
    </row>
    <row r="30" spans="1:45" x14ac:dyDescent="0.25">
      <c r="A30" s="748"/>
      <c r="B30" s="749"/>
      <c r="C30" s="749" t="str">
        <f t="shared" si="0"/>
        <v/>
      </c>
      <c r="D30" s="749"/>
      <c r="E30" s="748">
        <v>7</v>
      </c>
      <c r="F30" s="749" t="s">
        <v>296</v>
      </c>
      <c r="G30" s="749" t="str">
        <f t="shared" si="1"/>
        <v>/</v>
      </c>
      <c r="H30" s="749" t="s">
        <v>297</v>
      </c>
      <c r="I30" s="748"/>
      <c r="J30" s="749"/>
      <c r="K30" s="749" t="str">
        <f t="shared" si="2"/>
        <v/>
      </c>
      <c r="L30" s="749"/>
      <c r="M30" s="748"/>
      <c r="N30" s="749"/>
      <c r="O30" s="749" t="str">
        <f t="shared" si="3"/>
        <v/>
      </c>
      <c r="P30" s="749"/>
      <c r="Q30" s="748"/>
      <c r="R30" s="749"/>
      <c r="S30" s="749" t="str">
        <f t="shared" si="4"/>
        <v/>
      </c>
      <c r="T30" s="749"/>
      <c r="U30" s="748"/>
      <c r="V30" s="749"/>
      <c r="W30" s="749" t="str">
        <f t="shared" si="5"/>
        <v/>
      </c>
      <c r="X30" s="749"/>
      <c r="Y30" s="748"/>
      <c r="Z30" s="749"/>
      <c r="AA30" s="749" t="str">
        <f t="shared" si="6"/>
        <v/>
      </c>
      <c r="AB30" s="749"/>
      <c r="AC30" s="748"/>
      <c r="AD30" s="749"/>
      <c r="AE30" s="749" t="str">
        <f t="shared" si="7"/>
        <v/>
      </c>
      <c r="AF30" s="749"/>
      <c r="AG30" s="748"/>
      <c r="AH30" s="749"/>
      <c r="AI30" s="749" t="str">
        <f t="shared" si="8"/>
        <v/>
      </c>
      <c r="AJ30" s="749"/>
      <c r="AK30" s="748"/>
      <c r="AL30" s="749"/>
      <c r="AM30" s="749" t="str">
        <f t="shared" si="9"/>
        <v/>
      </c>
      <c r="AN30" s="749"/>
      <c r="AO30" s="748"/>
      <c r="AP30" s="749"/>
      <c r="AQ30" s="749" t="str">
        <f t="shared" si="10"/>
        <v/>
      </c>
      <c r="AR30" s="750"/>
      <c r="AS30" s="751"/>
    </row>
    <row r="31" spans="1:45" x14ac:dyDescent="0.25">
      <c r="A31" s="748">
        <v>14</v>
      </c>
      <c r="B31" s="749" t="s">
        <v>298</v>
      </c>
      <c r="C31" s="749" t="str">
        <f t="shared" si="0"/>
        <v>/</v>
      </c>
      <c r="D31" s="749" t="s">
        <v>299</v>
      </c>
      <c r="E31" s="748"/>
      <c r="F31" s="749"/>
      <c r="G31" s="749" t="str">
        <f t="shared" si="1"/>
        <v/>
      </c>
      <c r="H31" s="749"/>
      <c r="I31" s="748"/>
      <c r="J31" s="749"/>
      <c r="K31" s="749" t="str">
        <f t="shared" si="2"/>
        <v/>
      </c>
      <c r="L31" s="749"/>
      <c r="M31" s="748"/>
      <c r="N31" s="749"/>
      <c r="O31" s="749" t="str">
        <f t="shared" si="3"/>
        <v/>
      </c>
      <c r="P31" s="749"/>
      <c r="Q31" s="748"/>
      <c r="R31" s="749"/>
      <c r="S31" s="749" t="str">
        <f t="shared" si="4"/>
        <v/>
      </c>
      <c r="T31" s="749"/>
      <c r="U31" s="748"/>
      <c r="V31" s="749"/>
      <c r="W31" s="749" t="str">
        <f t="shared" si="5"/>
        <v/>
      </c>
      <c r="X31" s="749"/>
      <c r="Y31" s="748"/>
      <c r="Z31" s="749"/>
      <c r="AA31" s="749" t="str">
        <f t="shared" si="6"/>
        <v/>
      </c>
      <c r="AB31" s="749"/>
      <c r="AC31" s="748"/>
      <c r="AD31" s="749"/>
      <c r="AE31" s="749" t="str">
        <f t="shared" si="7"/>
        <v/>
      </c>
      <c r="AF31" s="749"/>
      <c r="AG31" s="748"/>
      <c r="AH31" s="749"/>
      <c r="AI31" s="749" t="str">
        <f t="shared" si="8"/>
        <v/>
      </c>
      <c r="AJ31" s="749"/>
      <c r="AK31" s="748"/>
      <c r="AL31" s="749"/>
      <c r="AM31" s="749" t="str">
        <f t="shared" si="9"/>
        <v/>
      </c>
      <c r="AN31" s="749"/>
      <c r="AO31" s="748"/>
      <c r="AP31" s="749"/>
      <c r="AQ31" s="749" t="str">
        <f t="shared" si="10"/>
        <v/>
      </c>
      <c r="AR31" s="750"/>
      <c r="AS31" s="751"/>
    </row>
    <row r="32" spans="1:45" x14ac:dyDescent="0.25">
      <c r="A32" s="748"/>
      <c r="B32" s="749"/>
      <c r="C32" s="749" t="str">
        <f t="shared" si="0"/>
        <v/>
      </c>
      <c r="D32" s="749"/>
      <c r="E32" s="748"/>
      <c r="F32" s="749"/>
      <c r="G32" s="749" t="str">
        <f t="shared" si="1"/>
        <v/>
      </c>
      <c r="H32" s="749"/>
      <c r="I32" s="748">
        <v>4</v>
      </c>
      <c r="J32" s="749" t="s">
        <v>300</v>
      </c>
      <c r="K32" s="749" t="str">
        <f t="shared" si="2"/>
        <v>/</v>
      </c>
      <c r="L32" s="749" t="s">
        <v>301</v>
      </c>
      <c r="M32" s="748"/>
      <c r="N32" s="749"/>
      <c r="O32" s="749" t="str">
        <f t="shared" si="3"/>
        <v/>
      </c>
      <c r="P32" s="749"/>
      <c r="Q32" s="748"/>
      <c r="R32" s="749"/>
      <c r="S32" s="749" t="str">
        <f t="shared" si="4"/>
        <v/>
      </c>
      <c r="T32" s="749"/>
      <c r="U32" s="748"/>
      <c r="V32" s="749"/>
      <c r="W32" s="749" t="str">
        <f t="shared" si="5"/>
        <v/>
      </c>
      <c r="X32" s="749"/>
      <c r="Y32" s="748"/>
      <c r="Z32" s="749"/>
      <c r="AA32" s="749" t="str">
        <f t="shared" si="6"/>
        <v/>
      </c>
      <c r="AB32" s="749"/>
      <c r="AC32" s="748"/>
      <c r="AD32" s="749"/>
      <c r="AE32" s="749" t="str">
        <f t="shared" si="7"/>
        <v/>
      </c>
      <c r="AF32" s="749"/>
      <c r="AG32" s="748">
        <v>1</v>
      </c>
      <c r="AH32" s="749" t="s">
        <v>300</v>
      </c>
      <c r="AI32" s="749" t="str">
        <f t="shared" si="8"/>
        <v>/</v>
      </c>
      <c r="AJ32" s="749" t="s">
        <v>301</v>
      </c>
      <c r="AK32" s="748"/>
      <c r="AL32" s="749"/>
      <c r="AM32" s="749" t="str">
        <f t="shared" si="9"/>
        <v/>
      </c>
      <c r="AN32" s="749"/>
      <c r="AO32" s="748"/>
      <c r="AP32" s="749"/>
      <c r="AQ32" s="749" t="str">
        <f t="shared" si="10"/>
        <v/>
      </c>
      <c r="AR32" s="750"/>
      <c r="AS32" s="751"/>
    </row>
    <row r="33" spans="1:45" x14ac:dyDescent="0.25">
      <c r="A33" s="748">
        <v>15</v>
      </c>
      <c r="B33" s="749" t="s">
        <v>302</v>
      </c>
      <c r="C33" s="749" t="str">
        <f t="shared" si="0"/>
        <v>/</v>
      </c>
      <c r="D33" s="749" t="s">
        <v>303</v>
      </c>
      <c r="E33" s="748"/>
      <c r="F33" s="749"/>
      <c r="G33" s="749" t="str">
        <f t="shared" si="1"/>
        <v/>
      </c>
      <c r="H33" s="749"/>
      <c r="I33" s="748"/>
      <c r="J33" s="749"/>
      <c r="K33" s="749" t="str">
        <f t="shared" si="2"/>
        <v/>
      </c>
      <c r="L33" s="749"/>
      <c r="M33" s="748"/>
      <c r="N33" s="749"/>
      <c r="O33" s="749" t="str">
        <f t="shared" si="3"/>
        <v/>
      </c>
      <c r="P33" s="749"/>
      <c r="Q33" s="748"/>
      <c r="R33" s="749"/>
      <c r="S33" s="749" t="str">
        <f t="shared" si="4"/>
        <v/>
      </c>
      <c r="T33" s="749"/>
      <c r="U33" s="748"/>
      <c r="V33" s="749"/>
      <c r="W33" s="749" t="str">
        <f t="shared" si="5"/>
        <v/>
      </c>
      <c r="X33" s="749"/>
      <c r="Y33" s="748"/>
      <c r="Z33" s="749"/>
      <c r="AA33" s="749" t="str">
        <f t="shared" si="6"/>
        <v/>
      </c>
      <c r="AB33" s="749"/>
      <c r="AC33" s="748"/>
      <c r="AD33" s="749"/>
      <c r="AE33" s="749" t="str">
        <f t="shared" si="7"/>
        <v/>
      </c>
      <c r="AF33" s="749"/>
      <c r="AG33" s="748"/>
      <c r="AH33" s="749"/>
      <c r="AI33" s="749" t="str">
        <f t="shared" si="8"/>
        <v/>
      </c>
      <c r="AJ33" s="749"/>
      <c r="AK33" s="748"/>
      <c r="AL33" s="749"/>
      <c r="AM33" s="749" t="str">
        <f t="shared" si="9"/>
        <v/>
      </c>
      <c r="AN33" s="749"/>
      <c r="AO33" s="748"/>
      <c r="AP33" s="749"/>
      <c r="AQ33" s="749" t="str">
        <f t="shared" si="10"/>
        <v/>
      </c>
      <c r="AR33" s="750"/>
      <c r="AS33" s="751"/>
    </row>
    <row r="34" spans="1:45" x14ac:dyDescent="0.25">
      <c r="A34" s="748"/>
      <c r="B34" s="749"/>
      <c r="C34" s="749" t="str">
        <f t="shared" si="0"/>
        <v/>
      </c>
      <c r="D34" s="749"/>
      <c r="E34" s="748">
        <v>8</v>
      </c>
      <c r="F34" s="749" t="s">
        <v>304</v>
      </c>
      <c r="G34" s="749" t="str">
        <f t="shared" si="1"/>
        <v>/</v>
      </c>
      <c r="H34" s="749" t="s">
        <v>305</v>
      </c>
      <c r="I34" s="748"/>
      <c r="J34" s="749"/>
      <c r="K34" s="749" t="str">
        <f t="shared" si="2"/>
        <v/>
      </c>
      <c r="L34" s="749"/>
      <c r="M34" s="748"/>
      <c r="N34" s="749"/>
      <c r="O34" s="749" t="str">
        <f t="shared" si="3"/>
        <v/>
      </c>
      <c r="P34" s="749"/>
      <c r="Q34" s="748"/>
      <c r="R34" s="749"/>
      <c r="S34" s="749" t="str">
        <f t="shared" si="4"/>
        <v/>
      </c>
      <c r="T34" s="749"/>
      <c r="U34" s="748"/>
      <c r="V34" s="749"/>
      <c r="W34" s="749" t="str">
        <f t="shared" si="5"/>
        <v/>
      </c>
      <c r="X34" s="749"/>
      <c r="Y34" s="748"/>
      <c r="Z34" s="749"/>
      <c r="AA34" s="749" t="str">
        <f t="shared" si="6"/>
        <v/>
      </c>
      <c r="AB34" s="749"/>
      <c r="AC34" s="748"/>
      <c r="AD34" s="749"/>
      <c r="AE34" s="749" t="str">
        <f t="shared" si="7"/>
        <v/>
      </c>
      <c r="AF34" s="749"/>
      <c r="AG34" s="748"/>
      <c r="AH34" s="749"/>
      <c r="AI34" s="749" t="str">
        <f t="shared" si="8"/>
        <v/>
      </c>
      <c r="AJ34" s="749"/>
      <c r="AK34" s="748"/>
      <c r="AL34" s="749"/>
      <c r="AM34" s="749" t="str">
        <f t="shared" si="9"/>
        <v/>
      </c>
      <c r="AN34" s="749"/>
      <c r="AO34" s="748"/>
      <c r="AP34" s="749"/>
      <c r="AQ34" s="749" t="str">
        <f t="shared" si="10"/>
        <v/>
      </c>
      <c r="AR34" s="750"/>
      <c r="AS34" s="751"/>
    </row>
    <row r="35" spans="1:45" x14ac:dyDescent="0.25">
      <c r="A35" s="748">
        <v>16</v>
      </c>
      <c r="B35" s="749" t="s">
        <v>306</v>
      </c>
      <c r="C35" s="749" t="str">
        <f t="shared" si="0"/>
        <v>/</v>
      </c>
      <c r="D35" s="749" t="s">
        <v>307</v>
      </c>
      <c r="E35" s="748"/>
      <c r="F35" s="749"/>
      <c r="G35" s="749" t="str">
        <f t="shared" si="1"/>
        <v/>
      </c>
      <c r="H35" s="749"/>
      <c r="I35" s="748"/>
      <c r="J35" s="749"/>
      <c r="K35" s="749" t="str">
        <f t="shared" si="2"/>
        <v/>
      </c>
      <c r="L35" s="749"/>
      <c r="M35" s="748"/>
      <c r="N35" s="749"/>
      <c r="O35" s="749" t="str">
        <f t="shared" si="3"/>
        <v/>
      </c>
      <c r="P35" s="749"/>
      <c r="Q35" s="748"/>
      <c r="R35" s="749"/>
      <c r="S35" s="749" t="str">
        <f t="shared" si="4"/>
        <v/>
      </c>
      <c r="T35" s="749"/>
      <c r="U35" s="748"/>
      <c r="V35" s="749"/>
      <c r="W35" s="749" t="str">
        <f t="shared" si="5"/>
        <v/>
      </c>
      <c r="X35" s="749"/>
      <c r="Y35" s="748"/>
      <c r="Z35" s="749"/>
      <c r="AA35" s="749" t="str">
        <f t="shared" si="6"/>
        <v/>
      </c>
      <c r="AB35" s="749"/>
      <c r="AC35" s="748"/>
      <c r="AD35" s="749"/>
      <c r="AE35" s="749" t="str">
        <f t="shared" si="7"/>
        <v/>
      </c>
      <c r="AF35" s="749"/>
      <c r="AG35" s="748"/>
      <c r="AH35" s="749"/>
      <c r="AI35" s="749" t="str">
        <f t="shared" si="8"/>
        <v/>
      </c>
      <c r="AJ35" s="749"/>
      <c r="AK35" s="748"/>
      <c r="AL35" s="749"/>
      <c r="AM35" s="749" t="str">
        <f t="shared" si="9"/>
        <v/>
      </c>
      <c r="AN35" s="749"/>
      <c r="AO35" s="748"/>
      <c r="AP35" s="749"/>
      <c r="AQ35" s="749" t="str">
        <f t="shared" si="10"/>
        <v/>
      </c>
      <c r="AR35" s="750"/>
      <c r="AS35" s="751"/>
    </row>
    <row r="36" spans="1:45" x14ac:dyDescent="0.25">
      <c r="A36" s="748"/>
      <c r="B36" s="749"/>
      <c r="C36" s="749" t="str">
        <f t="shared" si="0"/>
        <v/>
      </c>
      <c r="D36" s="749"/>
      <c r="E36" s="748"/>
      <c r="F36" s="749"/>
      <c r="G36" s="749" t="str">
        <f t="shared" si="1"/>
        <v/>
      </c>
      <c r="H36" s="749"/>
      <c r="I36" s="748"/>
      <c r="J36" s="749"/>
      <c r="K36" s="749" t="str">
        <f t="shared" si="2"/>
        <v/>
      </c>
      <c r="L36" s="749"/>
      <c r="M36" s="748"/>
      <c r="N36" s="749"/>
      <c r="O36" s="749" t="str">
        <f t="shared" si="3"/>
        <v/>
      </c>
      <c r="P36" s="749"/>
      <c r="Q36" s="748"/>
      <c r="R36" s="749"/>
      <c r="S36" s="749" t="str">
        <f t="shared" si="4"/>
        <v/>
      </c>
      <c r="T36" s="749"/>
      <c r="U36" s="748"/>
      <c r="V36" s="749"/>
      <c r="W36" s="749" t="str">
        <f t="shared" si="5"/>
        <v/>
      </c>
      <c r="X36" s="749"/>
      <c r="Y36" s="748"/>
      <c r="Z36" s="749"/>
      <c r="AA36" s="749" t="str">
        <f t="shared" si="6"/>
        <v/>
      </c>
      <c r="AB36" s="749"/>
      <c r="AC36" s="748"/>
      <c r="AD36" s="749"/>
      <c r="AE36" s="749" t="str">
        <f t="shared" si="7"/>
        <v/>
      </c>
      <c r="AF36" s="749"/>
      <c r="AG36" s="748"/>
      <c r="AH36" s="749"/>
      <c r="AI36" s="749" t="str">
        <f t="shared" si="8"/>
        <v/>
      </c>
      <c r="AJ36" s="749"/>
      <c r="AK36" s="748">
        <v>1</v>
      </c>
      <c r="AL36" s="749" t="s">
        <v>308</v>
      </c>
      <c r="AM36" s="749" t="str">
        <f t="shared" si="9"/>
        <v>/</v>
      </c>
      <c r="AN36" s="749" t="s">
        <v>309</v>
      </c>
      <c r="AO36" s="748"/>
      <c r="AP36" s="749"/>
      <c r="AQ36" s="749" t="str">
        <f t="shared" si="10"/>
        <v/>
      </c>
      <c r="AR36" s="750"/>
      <c r="AS36" s="751"/>
    </row>
    <row r="37" spans="1:45" x14ac:dyDescent="0.25">
      <c r="A37" s="748">
        <v>17</v>
      </c>
      <c r="B37" s="749" t="s">
        <v>310</v>
      </c>
      <c r="C37" s="749" t="str">
        <f t="shared" si="0"/>
        <v>/</v>
      </c>
      <c r="D37" s="749" t="s">
        <v>311</v>
      </c>
      <c r="E37" s="748"/>
      <c r="F37" s="749"/>
      <c r="G37" s="749" t="str">
        <f t="shared" si="1"/>
        <v/>
      </c>
      <c r="H37" s="749"/>
      <c r="I37" s="748"/>
      <c r="J37" s="749"/>
      <c r="K37" s="749" t="str">
        <f t="shared" si="2"/>
        <v/>
      </c>
      <c r="L37" s="749"/>
      <c r="M37" s="748"/>
      <c r="N37" s="749"/>
      <c r="O37" s="749" t="str">
        <f t="shared" si="3"/>
        <v/>
      </c>
      <c r="P37" s="749"/>
      <c r="Q37" s="748"/>
      <c r="R37" s="749"/>
      <c r="S37" s="749" t="str">
        <f t="shared" si="4"/>
        <v/>
      </c>
      <c r="T37" s="749"/>
      <c r="U37" s="748"/>
      <c r="V37" s="749"/>
      <c r="W37" s="749" t="str">
        <f t="shared" si="5"/>
        <v/>
      </c>
      <c r="X37" s="749"/>
      <c r="Y37" s="748"/>
      <c r="Z37" s="749"/>
      <c r="AA37" s="749" t="str">
        <f t="shared" si="6"/>
        <v/>
      </c>
      <c r="AB37" s="749"/>
      <c r="AC37" s="748"/>
      <c r="AD37" s="749"/>
      <c r="AE37" s="749" t="str">
        <f t="shared" si="7"/>
        <v/>
      </c>
      <c r="AF37" s="749"/>
      <c r="AG37" s="748"/>
      <c r="AH37" s="749"/>
      <c r="AI37" s="749" t="str">
        <f t="shared" si="8"/>
        <v/>
      </c>
      <c r="AJ37" s="749"/>
      <c r="AK37" s="748"/>
      <c r="AL37" s="749"/>
      <c r="AM37" s="749" t="str">
        <f t="shared" si="9"/>
        <v/>
      </c>
      <c r="AN37" s="749"/>
      <c r="AO37" s="748"/>
      <c r="AP37" s="749"/>
      <c r="AQ37" s="749" t="str">
        <f t="shared" si="10"/>
        <v/>
      </c>
      <c r="AR37" s="750"/>
      <c r="AS37" s="751"/>
    </row>
    <row r="38" spans="1:45" x14ac:dyDescent="0.25">
      <c r="A38" s="748"/>
      <c r="B38" s="749"/>
      <c r="C38" s="749" t="str">
        <f t="shared" si="0"/>
        <v/>
      </c>
      <c r="D38" s="749"/>
      <c r="E38" s="748">
        <v>9</v>
      </c>
      <c r="F38" s="749" t="s">
        <v>312</v>
      </c>
      <c r="G38" s="749" t="str">
        <f t="shared" si="1"/>
        <v>/</v>
      </c>
      <c r="H38" s="749" t="s">
        <v>313</v>
      </c>
      <c r="I38" s="748"/>
      <c r="J38" s="749"/>
      <c r="K38" s="749" t="str">
        <f t="shared" si="2"/>
        <v/>
      </c>
      <c r="L38" s="749"/>
      <c r="M38" s="748"/>
      <c r="N38" s="749"/>
      <c r="O38" s="749" t="str">
        <f t="shared" si="3"/>
        <v/>
      </c>
      <c r="P38" s="749"/>
      <c r="Q38" s="748"/>
      <c r="R38" s="749"/>
      <c r="S38" s="749" t="str">
        <f t="shared" si="4"/>
        <v/>
      </c>
      <c r="T38" s="749"/>
      <c r="U38" s="748"/>
      <c r="V38" s="749"/>
      <c r="W38" s="749" t="str">
        <f t="shared" si="5"/>
        <v/>
      </c>
      <c r="X38" s="749"/>
      <c r="Y38" s="748"/>
      <c r="Z38" s="749"/>
      <c r="AA38" s="749" t="str">
        <f t="shared" si="6"/>
        <v/>
      </c>
      <c r="AB38" s="749"/>
      <c r="AC38" s="748"/>
      <c r="AD38" s="749"/>
      <c r="AE38" s="749" t="str">
        <f t="shared" si="7"/>
        <v/>
      </c>
      <c r="AF38" s="749"/>
      <c r="AG38" s="748"/>
      <c r="AH38" s="749"/>
      <c r="AI38" s="749" t="str">
        <f t="shared" si="8"/>
        <v/>
      </c>
      <c r="AJ38" s="749"/>
      <c r="AK38" s="748"/>
      <c r="AL38" s="749"/>
      <c r="AM38" s="749" t="str">
        <f t="shared" si="9"/>
        <v/>
      </c>
      <c r="AN38" s="749"/>
      <c r="AO38" s="748"/>
      <c r="AP38" s="749"/>
      <c r="AQ38" s="749" t="str">
        <f t="shared" si="10"/>
        <v/>
      </c>
      <c r="AR38" s="750"/>
      <c r="AS38" s="751"/>
    </row>
    <row r="39" spans="1:45" x14ac:dyDescent="0.25">
      <c r="A39" s="748">
        <v>18</v>
      </c>
      <c r="B39" s="749" t="s">
        <v>314</v>
      </c>
      <c r="C39" s="749" t="str">
        <f t="shared" si="0"/>
        <v>/</v>
      </c>
      <c r="D39" s="749" t="s">
        <v>315</v>
      </c>
      <c r="E39" s="748"/>
      <c r="F39" s="749"/>
      <c r="G39" s="749" t="str">
        <f t="shared" si="1"/>
        <v/>
      </c>
      <c r="H39" s="749"/>
      <c r="I39" s="748"/>
      <c r="J39" s="749"/>
      <c r="K39" s="749" t="str">
        <f t="shared" si="2"/>
        <v/>
      </c>
      <c r="L39" s="749"/>
      <c r="M39" s="748"/>
      <c r="N39" s="749"/>
      <c r="O39" s="749" t="str">
        <f t="shared" si="3"/>
        <v/>
      </c>
      <c r="P39" s="749"/>
      <c r="Q39" s="748"/>
      <c r="R39" s="749"/>
      <c r="S39" s="749" t="str">
        <f t="shared" si="4"/>
        <v/>
      </c>
      <c r="T39" s="749"/>
      <c r="U39" s="748"/>
      <c r="V39" s="749"/>
      <c r="W39" s="749" t="str">
        <f t="shared" si="5"/>
        <v/>
      </c>
      <c r="X39" s="749"/>
      <c r="Y39" s="748"/>
      <c r="Z39" s="749"/>
      <c r="AA39" s="749" t="str">
        <f t="shared" si="6"/>
        <v/>
      </c>
      <c r="AB39" s="749"/>
      <c r="AC39" s="748"/>
      <c r="AD39" s="749"/>
      <c r="AE39" s="749" t="str">
        <f t="shared" si="7"/>
        <v/>
      </c>
      <c r="AF39" s="749"/>
      <c r="AG39" s="748"/>
      <c r="AH39" s="749"/>
      <c r="AI39" s="749" t="str">
        <f t="shared" si="8"/>
        <v/>
      </c>
      <c r="AJ39" s="749"/>
      <c r="AK39" s="748"/>
      <c r="AL39" s="749"/>
      <c r="AM39" s="749" t="str">
        <f t="shared" si="9"/>
        <v/>
      </c>
      <c r="AN39" s="749"/>
      <c r="AO39" s="748"/>
      <c r="AP39" s="749"/>
      <c r="AQ39" s="749" t="str">
        <f t="shared" si="10"/>
        <v/>
      </c>
      <c r="AR39" s="750"/>
      <c r="AS39" s="751"/>
    </row>
    <row r="40" spans="1:45" x14ac:dyDescent="0.25">
      <c r="A40" s="748"/>
      <c r="B40" s="749"/>
      <c r="C40" s="749" t="str">
        <f t="shared" si="0"/>
        <v/>
      </c>
      <c r="D40" s="749"/>
      <c r="E40" s="748"/>
      <c r="F40" s="749"/>
      <c r="G40" s="749" t="str">
        <f t="shared" si="1"/>
        <v/>
      </c>
      <c r="H40" s="749"/>
      <c r="I40" s="748">
        <v>5</v>
      </c>
      <c r="J40" s="749" t="s">
        <v>316</v>
      </c>
      <c r="K40" s="749" t="str">
        <f t="shared" si="2"/>
        <v>/</v>
      </c>
      <c r="L40" s="749" t="s">
        <v>317</v>
      </c>
      <c r="M40" s="748"/>
      <c r="N40" s="749"/>
      <c r="O40" s="749" t="str">
        <f t="shared" si="3"/>
        <v/>
      </c>
      <c r="P40" s="749"/>
      <c r="Q40" s="748">
        <v>2</v>
      </c>
      <c r="R40" s="749" t="s">
        <v>316</v>
      </c>
      <c r="S40" s="749" t="str">
        <f t="shared" si="4"/>
        <v>/</v>
      </c>
      <c r="T40" s="749" t="s">
        <v>317</v>
      </c>
      <c r="U40" s="748"/>
      <c r="V40" s="749"/>
      <c r="W40" s="749" t="str">
        <f t="shared" si="5"/>
        <v/>
      </c>
      <c r="X40" s="749"/>
      <c r="Y40" s="748"/>
      <c r="Z40" s="749"/>
      <c r="AA40" s="749" t="str">
        <f t="shared" si="6"/>
        <v/>
      </c>
      <c r="AB40" s="749"/>
      <c r="AC40" s="748"/>
      <c r="AD40" s="749"/>
      <c r="AE40" s="749" t="str">
        <f t="shared" si="7"/>
        <v/>
      </c>
      <c r="AF40" s="749"/>
      <c r="AG40" s="748"/>
      <c r="AH40" s="749"/>
      <c r="AI40" s="749" t="str">
        <f t="shared" si="8"/>
        <v/>
      </c>
      <c r="AJ40" s="749"/>
      <c r="AK40" s="748"/>
      <c r="AL40" s="749"/>
      <c r="AM40" s="749" t="str">
        <f t="shared" si="9"/>
        <v/>
      </c>
      <c r="AN40" s="749"/>
      <c r="AO40" s="748">
        <v>1</v>
      </c>
      <c r="AP40" s="749" t="s">
        <v>316</v>
      </c>
      <c r="AQ40" s="749" t="str">
        <f t="shared" si="10"/>
        <v>/</v>
      </c>
      <c r="AR40" s="750" t="s">
        <v>317</v>
      </c>
      <c r="AS40" s="751"/>
    </row>
    <row r="41" spans="1:45" x14ac:dyDescent="0.25">
      <c r="A41" s="748">
        <v>19</v>
      </c>
      <c r="B41" s="749" t="s">
        <v>318</v>
      </c>
      <c r="C41" s="749" t="str">
        <f t="shared" si="0"/>
        <v>/</v>
      </c>
      <c r="D41" s="749" t="s">
        <v>319</v>
      </c>
      <c r="E41" s="748"/>
      <c r="F41" s="749"/>
      <c r="G41" s="749" t="str">
        <f t="shared" si="1"/>
        <v/>
      </c>
      <c r="H41" s="749"/>
      <c r="I41" s="748"/>
      <c r="J41" s="749"/>
      <c r="K41" s="749" t="str">
        <f t="shared" si="2"/>
        <v/>
      </c>
      <c r="L41" s="749"/>
      <c r="M41" s="748"/>
      <c r="N41" s="749"/>
      <c r="O41" s="749" t="str">
        <f t="shared" si="3"/>
        <v/>
      </c>
      <c r="P41" s="749"/>
      <c r="Q41" s="748"/>
      <c r="R41" s="749"/>
      <c r="S41" s="749" t="str">
        <f t="shared" si="4"/>
        <v/>
      </c>
      <c r="T41" s="749"/>
      <c r="U41" s="748"/>
      <c r="V41" s="749"/>
      <c r="W41" s="749" t="str">
        <f t="shared" si="5"/>
        <v/>
      </c>
      <c r="X41" s="749"/>
      <c r="Y41" s="748"/>
      <c r="Z41" s="749"/>
      <c r="AA41" s="749" t="str">
        <f t="shared" si="6"/>
        <v/>
      </c>
      <c r="AB41" s="749"/>
      <c r="AC41" s="748"/>
      <c r="AD41" s="749"/>
      <c r="AE41" s="749" t="str">
        <f t="shared" si="7"/>
        <v/>
      </c>
      <c r="AF41" s="749"/>
      <c r="AG41" s="748"/>
      <c r="AH41" s="749"/>
      <c r="AI41" s="749" t="str">
        <f t="shared" si="8"/>
        <v/>
      </c>
      <c r="AJ41" s="749"/>
      <c r="AK41" s="748"/>
      <c r="AL41" s="749"/>
      <c r="AM41" s="749" t="str">
        <f t="shared" si="9"/>
        <v/>
      </c>
      <c r="AN41" s="749"/>
      <c r="AO41" s="748"/>
      <c r="AP41" s="749"/>
      <c r="AQ41" s="749" t="str">
        <f t="shared" si="10"/>
        <v/>
      </c>
      <c r="AR41" s="750"/>
      <c r="AS41" s="751"/>
    </row>
    <row r="42" spans="1:45" x14ac:dyDescent="0.25">
      <c r="A42" s="748"/>
      <c r="B42" s="749"/>
      <c r="C42" s="749" t="str">
        <f t="shared" si="0"/>
        <v/>
      </c>
      <c r="D42" s="749"/>
      <c r="E42" s="748">
        <v>10</v>
      </c>
      <c r="F42" s="749" t="s">
        <v>320</v>
      </c>
      <c r="G42" s="749" t="str">
        <f t="shared" si="1"/>
        <v>/</v>
      </c>
      <c r="H42" s="749" t="s">
        <v>321</v>
      </c>
      <c r="I42" s="748"/>
      <c r="J42" s="749"/>
      <c r="K42" s="749" t="str">
        <f t="shared" si="2"/>
        <v/>
      </c>
      <c r="L42" s="749"/>
      <c r="M42" s="748"/>
      <c r="N42" s="749"/>
      <c r="O42" s="749" t="str">
        <f t="shared" si="3"/>
        <v/>
      </c>
      <c r="P42" s="749"/>
      <c r="Q42" s="748"/>
      <c r="R42" s="749"/>
      <c r="S42" s="749" t="str">
        <f t="shared" si="4"/>
        <v/>
      </c>
      <c r="T42" s="749"/>
      <c r="U42" s="748"/>
      <c r="V42" s="749"/>
      <c r="W42" s="749" t="str">
        <f t="shared" si="5"/>
        <v/>
      </c>
      <c r="X42" s="749"/>
      <c r="Y42" s="748"/>
      <c r="Z42" s="749"/>
      <c r="AA42" s="749" t="str">
        <f t="shared" si="6"/>
        <v/>
      </c>
      <c r="AB42" s="749"/>
      <c r="AC42" s="748"/>
      <c r="AD42" s="749"/>
      <c r="AE42" s="749" t="str">
        <f t="shared" si="7"/>
        <v/>
      </c>
      <c r="AF42" s="749"/>
      <c r="AG42" s="748"/>
      <c r="AH42" s="749"/>
      <c r="AI42" s="749" t="str">
        <f t="shared" si="8"/>
        <v/>
      </c>
      <c r="AJ42" s="749"/>
      <c r="AK42" s="748"/>
      <c r="AL42" s="749"/>
      <c r="AM42" s="749" t="str">
        <f t="shared" si="9"/>
        <v/>
      </c>
      <c r="AN42" s="749"/>
      <c r="AO42" s="748"/>
      <c r="AP42" s="749"/>
      <c r="AQ42" s="749" t="str">
        <f t="shared" si="10"/>
        <v/>
      </c>
      <c r="AR42" s="750"/>
      <c r="AS42" s="751"/>
    </row>
    <row r="43" spans="1:45" x14ac:dyDescent="0.25">
      <c r="A43" s="748">
        <v>20</v>
      </c>
      <c r="B43" s="749" t="s">
        <v>322</v>
      </c>
      <c r="C43" s="749" t="str">
        <f t="shared" si="0"/>
        <v>/</v>
      </c>
      <c r="D43" s="749" t="s">
        <v>323</v>
      </c>
      <c r="E43" s="748"/>
      <c r="F43" s="749"/>
      <c r="G43" s="749" t="str">
        <f t="shared" si="1"/>
        <v/>
      </c>
      <c r="H43" s="749"/>
      <c r="I43" s="748"/>
      <c r="J43" s="749"/>
      <c r="K43" s="749" t="str">
        <f t="shared" si="2"/>
        <v/>
      </c>
      <c r="L43" s="749"/>
      <c r="M43" s="748"/>
      <c r="N43" s="749"/>
      <c r="O43" s="749" t="str">
        <f t="shared" si="3"/>
        <v/>
      </c>
      <c r="P43" s="749"/>
      <c r="Q43" s="748"/>
      <c r="R43" s="749"/>
      <c r="S43" s="749" t="str">
        <f t="shared" si="4"/>
        <v/>
      </c>
      <c r="T43" s="749"/>
      <c r="U43" s="748"/>
      <c r="V43" s="749"/>
      <c r="W43" s="749" t="str">
        <f t="shared" si="5"/>
        <v/>
      </c>
      <c r="X43" s="749"/>
      <c r="Y43" s="748"/>
      <c r="Z43" s="749"/>
      <c r="AA43" s="749" t="str">
        <f t="shared" si="6"/>
        <v/>
      </c>
      <c r="AB43" s="749"/>
      <c r="AC43" s="748"/>
      <c r="AD43" s="749"/>
      <c r="AE43" s="749" t="str">
        <f t="shared" si="7"/>
        <v/>
      </c>
      <c r="AF43" s="749"/>
      <c r="AG43" s="748"/>
      <c r="AH43" s="749"/>
      <c r="AI43" s="749" t="str">
        <f t="shared" si="8"/>
        <v/>
      </c>
      <c r="AJ43" s="749"/>
      <c r="AK43" s="748"/>
      <c r="AL43" s="749"/>
      <c r="AM43" s="749" t="str">
        <f t="shared" si="9"/>
        <v/>
      </c>
      <c r="AN43" s="749"/>
      <c r="AO43" s="748"/>
      <c r="AP43" s="749"/>
      <c r="AQ43" s="749" t="str">
        <f t="shared" si="10"/>
        <v/>
      </c>
      <c r="AR43" s="750"/>
      <c r="AS43" s="751"/>
    </row>
    <row r="44" spans="1:45" x14ac:dyDescent="0.25">
      <c r="A44" s="748"/>
      <c r="B44" s="749"/>
      <c r="C44" s="749" t="str">
        <f t="shared" si="0"/>
        <v/>
      </c>
      <c r="D44" s="749"/>
      <c r="E44" s="748"/>
      <c r="F44" s="749"/>
      <c r="G44" s="749" t="str">
        <f t="shared" si="1"/>
        <v/>
      </c>
      <c r="H44" s="749"/>
      <c r="I44" s="748"/>
      <c r="J44" s="749"/>
      <c r="K44" s="749" t="str">
        <f t="shared" si="2"/>
        <v/>
      </c>
      <c r="L44" s="749"/>
      <c r="M44" s="748">
        <v>3</v>
      </c>
      <c r="N44" s="749" t="s">
        <v>324</v>
      </c>
      <c r="O44" s="749" t="str">
        <f t="shared" si="3"/>
        <v>/</v>
      </c>
      <c r="P44" s="749" t="s">
        <v>325</v>
      </c>
      <c r="Q44" s="748"/>
      <c r="R44" s="749"/>
      <c r="S44" s="749" t="str">
        <f t="shared" si="4"/>
        <v/>
      </c>
      <c r="T44" s="749"/>
      <c r="U44" s="748"/>
      <c r="V44" s="749"/>
      <c r="W44" s="749" t="str">
        <f t="shared" si="5"/>
        <v/>
      </c>
      <c r="X44" s="749"/>
      <c r="Y44" s="748"/>
      <c r="Z44" s="749"/>
      <c r="AA44" s="749" t="str">
        <f t="shared" si="6"/>
        <v/>
      </c>
      <c r="AB44" s="749"/>
      <c r="AC44" s="748"/>
      <c r="AD44" s="749"/>
      <c r="AE44" s="749" t="str">
        <f t="shared" si="7"/>
        <v/>
      </c>
      <c r="AF44" s="749"/>
      <c r="AG44" s="748"/>
      <c r="AH44" s="749"/>
      <c r="AI44" s="749" t="str">
        <f t="shared" si="8"/>
        <v/>
      </c>
      <c r="AJ44" s="749"/>
      <c r="AK44" s="748"/>
      <c r="AL44" s="749"/>
      <c r="AM44" s="749" t="str">
        <f t="shared" si="9"/>
        <v/>
      </c>
      <c r="AN44" s="749"/>
      <c r="AO44" s="748"/>
      <c r="AP44" s="749"/>
      <c r="AQ44" s="749" t="str">
        <f t="shared" si="10"/>
        <v/>
      </c>
      <c r="AR44" s="750"/>
      <c r="AS44" s="751"/>
    </row>
    <row r="45" spans="1:45" x14ac:dyDescent="0.25">
      <c r="A45" s="748">
        <v>21</v>
      </c>
      <c r="B45" s="749" t="s">
        <v>326</v>
      </c>
      <c r="C45" s="749" t="str">
        <f t="shared" si="0"/>
        <v>/</v>
      </c>
      <c r="D45" s="749" t="s">
        <v>327</v>
      </c>
      <c r="E45" s="748"/>
      <c r="F45" s="749"/>
      <c r="G45" s="749" t="str">
        <f t="shared" si="1"/>
        <v/>
      </c>
      <c r="H45" s="749"/>
      <c r="I45" s="748"/>
      <c r="J45" s="749"/>
      <c r="K45" s="749" t="str">
        <f t="shared" si="2"/>
        <v/>
      </c>
      <c r="L45" s="749"/>
      <c r="M45" s="748"/>
      <c r="N45" s="749"/>
      <c r="O45" s="749" t="str">
        <f t="shared" si="3"/>
        <v/>
      </c>
      <c r="P45" s="749"/>
      <c r="Q45" s="748"/>
      <c r="R45" s="749"/>
      <c r="S45" s="749" t="str">
        <f t="shared" si="4"/>
        <v/>
      </c>
      <c r="T45" s="749"/>
      <c r="U45" s="748"/>
      <c r="V45" s="749"/>
      <c r="W45" s="749" t="str">
        <f t="shared" si="5"/>
        <v/>
      </c>
      <c r="X45" s="749"/>
      <c r="Y45" s="748"/>
      <c r="Z45" s="749"/>
      <c r="AA45" s="749" t="str">
        <f t="shared" si="6"/>
        <v/>
      </c>
      <c r="AB45" s="749"/>
      <c r="AC45" s="748"/>
      <c r="AD45" s="749"/>
      <c r="AE45" s="749" t="str">
        <f t="shared" si="7"/>
        <v/>
      </c>
      <c r="AF45" s="749"/>
      <c r="AG45" s="748"/>
      <c r="AH45" s="749"/>
      <c r="AI45" s="749" t="str">
        <f t="shared" si="8"/>
        <v/>
      </c>
      <c r="AJ45" s="749"/>
      <c r="AK45" s="748"/>
      <c r="AL45" s="749"/>
      <c r="AM45" s="749" t="str">
        <f t="shared" si="9"/>
        <v/>
      </c>
      <c r="AN45" s="749"/>
      <c r="AO45" s="748"/>
      <c r="AP45" s="749"/>
      <c r="AQ45" s="749" t="str">
        <f t="shared" si="10"/>
        <v/>
      </c>
      <c r="AR45" s="750"/>
      <c r="AS45" s="751"/>
    </row>
    <row r="46" spans="1:45" x14ac:dyDescent="0.25">
      <c r="A46" s="748"/>
      <c r="B46" s="749"/>
      <c r="C46" s="749" t="str">
        <f t="shared" si="0"/>
        <v/>
      </c>
      <c r="D46" s="749"/>
      <c r="E46" s="748">
        <v>11</v>
      </c>
      <c r="F46" s="749" t="s">
        <v>328</v>
      </c>
      <c r="G46" s="749" t="str">
        <f t="shared" si="1"/>
        <v>/</v>
      </c>
      <c r="H46" s="749" t="s">
        <v>329</v>
      </c>
      <c r="I46" s="748"/>
      <c r="J46" s="749"/>
      <c r="K46" s="749" t="str">
        <f t="shared" si="2"/>
        <v/>
      </c>
      <c r="L46" s="749"/>
      <c r="M46" s="748"/>
      <c r="N46" s="749"/>
      <c r="O46" s="749" t="str">
        <f t="shared" si="3"/>
        <v/>
      </c>
      <c r="P46" s="749"/>
      <c r="Q46" s="748"/>
      <c r="R46" s="749"/>
      <c r="S46" s="749" t="str">
        <f t="shared" si="4"/>
        <v/>
      </c>
      <c r="T46" s="749"/>
      <c r="U46" s="748"/>
      <c r="V46" s="749"/>
      <c r="W46" s="749" t="str">
        <f t="shared" si="5"/>
        <v/>
      </c>
      <c r="X46" s="749"/>
      <c r="Y46" s="748"/>
      <c r="Z46" s="749"/>
      <c r="AA46" s="749" t="str">
        <f t="shared" si="6"/>
        <v/>
      </c>
      <c r="AB46" s="749"/>
      <c r="AC46" s="748"/>
      <c r="AD46" s="749"/>
      <c r="AE46" s="749" t="str">
        <f t="shared" si="7"/>
        <v/>
      </c>
      <c r="AF46" s="749"/>
      <c r="AG46" s="748"/>
      <c r="AH46" s="749"/>
      <c r="AI46" s="749" t="str">
        <f t="shared" si="8"/>
        <v/>
      </c>
      <c r="AJ46" s="749"/>
      <c r="AK46" s="748"/>
      <c r="AL46" s="749"/>
      <c r="AM46" s="749" t="str">
        <f t="shared" si="9"/>
        <v/>
      </c>
      <c r="AN46" s="749"/>
      <c r="AO46" s="748"/>
      <c r="AP46" s="749"/>
      <c r="AQ46" s="749" t="str">
        <f t="shared" si="10"/>
        <v/>
      </c>
      <c r="AR46" s="750"/>
      <c r="AS46" s="751"/>
    </row>
    <row r="47" spans="1:45" x14ac:dyDescent="0.25">
      <c r="A47" s="748">
        <v>22</v>
      </c>
      <c r="B47" s="749" t="s">
        <v>330</v>
      </c>
      <c r="C47" s="749" t="str">
        <f t="shared" si="0"/>
        <v>/</v>
      </c>
      <c r="D47" s="749" t="s">
        <v>331</v>
      </c>
      <c r="E47" s="748"/>
      <c r="F47" s="749"/>
      <c r="G47" s="749" t="str">
        <f t="shared" si="1"/>
        <v/>
      </c>
      <c r="H47" s="749"/>
      <c r="I47" s="748"/>
      <c r="J47" s="749"/>
      <c r="K47" s="749" t="str">
        <f t="shared" si="2"/>
        <v/>
      </c>
      <c r="L47" s="749"/>
      <c r="M47" s="748"/>
      <c r="N47" s="749"/>
      <c r="O47" s="749" t="str">
        <f t="shared" si="3"/>
        <v/>
      </c>
      <c r="P47" s="749"/>
      <c r="Q47" s="748"/>
      <c r="R47" s="749"/>
      <c r="S47" s="749" t="str">
        <f t="shared" si="4"/>
        <v/>
      </c>
      <c r="T47" s="749"/>
      <c r="U47" s="748"/>
      <c r="V47" s="749"/>
      <c r="W47" s="749" t="str">
        <f t="shared" si="5"/>
        <v/>
      </c>
      <c r="X47" s="749"/>
      <c r="Y47" s="748"/>
      <c r="Z47" s="749"/>
      <c r="AA47" s="749" t="str">
        <f t="shared" si="6"/>
        <v/>
      </c>
      <c r="AB47" s="749"/>
      <c r="AC47" s="748"/>
      <c r="AD47" s="749"/>
      <c r="AE47" s="749" t="str">
        <f t="shared" si="7"/>
        <v/>
      </c>
      <c r="AF47" s="749"/>
      <c r="AG47" s="748"/>
      <c r="AH47" s="749"/>
      <c r="AI47" s="749" t="str">
        <f t="shared" si="8"/>
        <v/>
      </c>
      <c r="AJ47" s="749"/>
      <c r="AK47" s="748"/>
      <c r="AL47" s="749"/>
      <c r="AM47" s="749" t="str">
        <f t="shared" si="9"/>
        <v/>
      </c>
      <c r="AN47" s="749"/>
      <c r="AO47" s="748"/>
      <c r="AP47" s="749"/>
      <c r="AQ47" s="749" t="str">
        <f t="shared" si="10"/>
        <v/>
      </c>
      <c r="AR47" s="750"/>
      <c r="AS47" s="751"/>
    </row>
    <row r="48" spans="1:45" x14ac:dyDescent="0.25">
      <c r="A48" s="748"/>
      <c r="B48" s="749"/>
      <c r="C48" s="749" t="str">
        <f t="shared" si="0"/>
        <v/>
      </c>
      <c r="D48" s="749"/>
      <c r="E48" s="748"/>
      <c r="F48" s="749"/>
      <c r="G48" s="749" t="str">
        <f t="shared" si="1"/>
        <v/>
      </c>
      <c r="H48" s="749"/>
      <c r="I48" s="748">
        <v>6</v>
      </c>
      <c r="J48" s="749" t="s">
        <v>332</v>
      </c>
      <c r="K48" s="749" t="str">
        <f t="shared" si="2"/>
        <v>/</v>
      </c>
      <c r="L48" s="749" t="s">
        <v>333</v>
      </c>
      <c r="M48" s="748"/>
      <c r="N48" s="749"/>
      <c r="O48" s="749" t="str">
        <f t="shared" si="3"/>
        <v/>
      </c>
      <c r="P48" s="749"/>
      <c r="Q48" s="748"/>
      <c r="R48" s="749"/>
      <c r="S48" s="749" t="str">
        <f t="shared" si="4"/>
        <v/>
      </c>
      <c r="T48" s="749"/>
      <c r="U48" s="748"/>
      <c r="V48" s="749"/>
      <c r="W48" s="749" t="str">
        <f t="shared" si="5"/>
        <v/>
      </c>
      <c r="X48" s="749"/>
      <c r="Y48" s="748"/>
      <c r="Z48" s="749"/>
      <c r="AA48" s="749" t="str">
        <f t="shared" si="6"/>
        <v/>
      </c>
      <c r="AB48" s="749"/>
      <c r="AC48" s="748"/>
      <c r="AD48" s="749"/>
      <c r="AE48" s="749" t="str">
        <f t="shared" si="7"/>
        <v/>
      </c>
      <c r="AF48" s="749"/>
      <c r="AG48" s="748"/>
      <c r="AH48" s="749"/>
      <c r="AI48" s="749" t="str">
        <f t="shared" si="8"/>
        <v/>
      </c>
      <c r="AJ48" s="749"/>
      <c r="AK48" s="748"/>
      <c r="AL48" s="749"/>
      <c r="AM48" s="749" t="str">
        <f t="shared" si="9"/>
        <v/>
      </c>
      <c r="AN48" s="749"/>
      <c r="AO48" s="748"/>
      <c r="AP48" s="749"/>
      <c r="AQ48" s="749" t="str">
        <f t="shared" si="10"/>
        <v/>
      </c>
      <c r="AR48" s="750"/>
      <c r="AS48" s="751"/>
    </row>
    <row r="49" spans="1:45" x14ac:dyDescent="0.25">
      <c r="A49" s="748">
        <v>23</v>
      </c>
      <c r="B49" s="749" t="s">
        <v>334</v>
      </c>
      <c r="C49" s="749" t="str">
        <f t="shared" si="0"/>
        <v>/</v>
      </c>
      <c r="D49" s="749" t="s">
        <v>335</v>
      </c>
      <c r="E49" s="748"/>
      <c r="F49" s="749"/>
      <c r="G49" s="749" t="str">
        <f t="shared" si="1"/>
        <v/>
      </c>
      <c r="H49" s="749"/>
      <c r="I49" s="748"/>
      <c r="J49" s="749"/>
      <c r="K49" s="749" t="str">
        <f t="shared" si="2"/>
        <v/>
      </c>
      <c r="L49" s="749"/>
      <c r="M49" s="748"/>
      <c r="N49" s="749"/>
      <c r="O49" s="749" t="str">
        <f t="shared" si="3"/>
        <v/>
      </c>
      <c r="P49" s="749"/>
      <c r="Q49" s="748"/>
      <c r="R49" s="749"/>
      <c r="S49" s="749" t="str">
        <f t="shared" si="4"/>
        <v/>
      </c>
      <c r="T49" s="749"/>
      <c r="U49" s="748"/>
      <c r="V49" s="749"/>
      <c r="W49" s="749" t="str">
        <f t="shared" si="5"/>
        <v/>
      </c>
      <c r="X49" s="749"/>
      <c r="Y49" s="748"/>
      <c r="Z49" s="749"/>
      <c r="AA49" s="749" t="str">
        <f t="shared" si="6"/>
        <v/>
      </c>
      <c r="AB49" s="749"/>
      <c r="AC49" s="748"/>
      <c r="AD49" s="749"/>
      <c r="AE49" s="749" t="str">
        <f t="shared" si="7"/>
        <v/>
      </c>
      <c r="AF49" s="749"/>
      <c r="AG49" s="748"/>
      <c r="AH49" s="749"/>
      <c r="AI49" s="749" t="str">
        <f t="shared" si="8"/>
        <v/>
      </c>
      <c r="AJ49" s="749"/>
      <c r="AK49" s="748"/>
      <c r="AL49" s="749"/>
      <c r="AM49" s="749" t="str">
        <f t="shared" si="9"/>
        <v/>
      </c>
      <c r="AN49" s="749"/>
      <c r="AO49" s="748"/>
      <c r="AP49" s="749"/>
      <c r="AQ49" s="749" t="str">
        <f t="shared" si="10"/>
        <v/>
      </c>
      <c r="AR49" s="750"/>
      <c r="AS49" s="751"/>
    </row>
    <row r="50" spans="1:45" x14ac:dyDescent="0.25">
      <c r="A50" s="748"/>
      <c r="B50" s="749"/>
      <c r="C50" s="749" t="str">
        <f t="shared" si="0"/>
        <v/>
      </c>
      <c r="D50" s="749"/>
      <c r="E50" s="748">
        <v>12</v>
      </c>
      <c r="F50" s="749" t="s">
        <v>336</v>
      </c>
      <c r="G50" s="749" t="str">
        <f t="shared" si="1"/>
        <v>/</v>
      </c>
      <c r="H50" s="749" t="s">
        <v>337</v>
      </c>
      <c r="I50" s="748"/>
      <c r="J50" s="749"/>
      <c r="K50" s="749" t="str">
        <f t="shared" si="2"/>
        <v/>
      </c>
      <c r="L50" s="749"/>
      <c r="M50" s="748"/>
      <c r="N50" s="749"/>
      <c r="O50" s="749" t="str">
        <f t="shared" si="3"/>
        <v/>
      </c>
      <c r="P50" s="749"/>
      <c r="Q50" s="748"/>
      <c r="R50" s="749"/>
      <c r="S50" s="749" t="str">
        <f t="shared" si="4"/>
        <v/>
      </c>
      <c r="T50" s="749"/>
      <c r="U50" s="748"/>
      <c r="V50" s="749"/>
      <c r="W50" s="749" t="str">
        <f t="shared" si="5"/>
        <v/>
      </c>
      <c r="X50" s="749"/>
      <c r="Y50" s="748"/>
      <c r="Z50" s="749"/>
      <c r="AA50" s="749" t="str">
        <f t="shared" si="6"/>
        <v/>
      </c>
      <c r="AB50" s="749"/>
      <c r="AC50" s="748"/>
      <c r="AD50" s="749"/>
      <c r="AE50" s="749" t="str">
        <f t="shared" si="7"/>
        <v/>
      </c>
      <c r="AF50" s="749"/>
      <c r="AG50" s="748"/>
      <c r="AH50" s="749"/>
      <c r="AI50" s="749" t="str">
        <f t="shared" si="8"/>
        <v/>
      </c>
      <c r="AJ50" s="749"/>
      <c r="AK50" s="748"/>
      <c r="AL50" s="749"/>
      <c r="AM50" s="749" t="str">
        <f t="shared" si="9"/>
        <v/>
      </c>
      <c r="AN50" s="749"/>
      <c r="AO50" s="748"/>
      <c r="AP50" s="749"/>
      <c r="AQ50" s="749" t="str">
        <f t="shared" si="10"/>
        <v/>
      </c>
      <c r="AR50" s="750"/>
      <c r="AS50" s="751"/>
    </row>
    <row r="51" spans="1:45" x14ac:dyDescent="0.25">
      <c r="A51" s="748">
        <v>24</v>
      </c>
      <c r="B51" s="749" t="s">
        <v>338</v>
      </c>
      <c r="C51" s="749" t="str">
        <f t="shared" si="0"/>
        <v>/</v>
      </c>
      <c r="D51" s="749" t="s">
        <v>339</v>
      </c>
      <c r="E51" s="748"/>
      <c r="F51" s="749"/>
      <c r="G51" s="749" t="str">
        <f t="shared" si="1"/>
        <v/>
      </c>
      <c r="H51" s="749"/>
      <c r="I51" s="748"/>
      <c r="J51" s="749"/>
      <c r="K51" s="749" t="str">
        <f t="shared" si="2"/>
        <v/>
      </c>
      <c r="L51" s="749"/>
      <c r="M51" s="748"/>
      <c r="N51" s="749"/>
      <c r="O51" s="749" t="str">
        <f t="shared" si="3"/>
        <v/>
      </c>
      <c r="P51" s="749"/>
      <c r="Q51" s="748"/>
      <c r="R51" s="749"/>
      <c r="S51" s="749" t="str">
        <f t="shared" si="4"/>
        <v/>
      </c>
      <c r="T51" s="749"/>
      <c r="U51" s="748"/>
      <c r="V51" s="749"/>
      <c r="W51" s="749" t="str">
        <f t="shared" si="5"/>
        <v/>
      </c>
      <c r="X51" s="749"/>
      <c r="Y51" s="748"/>
      <c r="Z51" s="749"/>
      <c r="AA51" s="749" t="str">
        <f t="shared" si="6"/>
        <v/>
      </c>
      <c r="AB51" s="749"/>
      <c r="AC51" s="748"/>
      <c r="AD51" s="749"/>
      <c r="AE51" s="749" t="str">
        <f t="shared" si="7"/>
        <v/>
      </c>
      <c r="AF51" s="749"/>
      <c r="AG51" s="748"/>
      <c r="AH51" s="749"/>
      <c r="AI51" s="749" t="str">
        <f t="shared" si="8"/>
        <v/>
      </c>
      <c r="AJ51" s="749"/>
      <c r="AK51" s="748"/>
      <c r="AL51" s="749"/>
      <c r="AM51" s="749" t="str">
        <f t="shared" si="9"/>
        <v/>
      </c>
      <c r="AN51" s="749"/>
      <c r="AO51" s="748"/>
      <c r="AP51" s="749"/>
      <c r="AQ51" s="749" t="str">
        <f t="shared" si="10"/>
        <v/>
      </c>
      <c r="AR51" s="750"/>
      <c r="AS51" s="751"/>
    </row>
    <row r="52" spans="1:45" x14ac:dyDescent="0.25">
      <c r="A52" s="748"/>
      <c r="B52" s="749"/>
      <c r="C52" s="749" t="str">
        <f t="shared" si="0"/>
        <v/>
      </c>
      <c r="D52" s="749"/>
      <c r="E52" s="748"/>
      <c r="F52" s="749"/>
      <c r="G52" s="749" t="str">
        <f t="shared" si="1"/>
        <v/>
      </c>
      <c r="H52" s="749"/>
      <c r="I52" s="748"/>
      <c r="J52" s="749"/>
      <c r="K52" s="749" t="str">
        <f t="shared" si="2"/>
        <v/>
      </c>
      <c r="L52" s="749"/>
      <c r="M52" s="748"/>
      <c r="N52" s="749"/>
      <c r="O52" s="749" t="str">
        <f t="shared" si="3"/>
        <v/>
      </c>
      <c r="P52" s="749"/>
      <c r="Q52" s="748"/>
      <c r="R52" s="749"/>
      <c r="S52" s="749" t="str">
        <f t="shared" si="4"/>
        <v/>
      </c>
      <c r="T52" s="749"/>
      <c r="U52" s="748">
        <v>2</v>
      </c>
      <c r="V52" s="749" t="s">
        <v>340</v>
      </c>
      <c r="W52" s="749" t="str">
        <f>IF(V52&lt;&gt;"","/","")</f>
        <v>/</v>
      </c>
      <c r="X52" s="749" t="s">
        <v>341</v>
      </c>
      <c r="Y52" s="748"/>
      <c r="Z52" s="749"/>
      <c r="AA52" s="749" t="str">
        <f t="shared" si="6"/>
        <v/>
      </c>
      <c r="AB52" s="749"/>
      <c r="AC52" s="748"/>
      <c r="AD52" s="749"/>
      <c r="AE52" s="749" t="str">
        <f>IF(AD52&lt;&gt;"","/","")</f>
        <v/>
      </c>
      <c r="AF52" s="749"/>
      <c r="AG52" s="748"/>
      <c r="AH52" s="749"/>
      <c r="AI52" s="749" t="str">
        <f t="shared" si="8"/>
        <v/>
      </c>
      <c r="AJ52" s="749"/>
      <c r="AK52" s="748"/>
      <c r="AL52" s="749"/>
      <c r="AM52" s="749" t="str">
        <f t="shared" si="9"/>
        <v/>
      </c>
      <c r="AN52" s="749"/>
      <c r="AO52" s="748"/>
      <c r="AP52" s="749"/>
      <c r="AQ52" s="749" t="str">
        <f t="shared" si="10"/>
        <v/>
      </c>
      <c r="AR52" s="750"/>
      <c r="AS52" s="751"/>
    </row>
    <row r="53" spans="1:45" x14ac:dyDescent="0.25">
      <c r="A53" s="748">
        <v>25</v>
      </c>
      <c r="B53" s="749" t="s">
        <v>342</v>
      </c>
      <c r="C53" s="749" t="str">
        <f t="shared" si="0"/>
        <v>/</v>
      </c>
      <c r="D53" s="749" t="s">
        <v>343</v>
      </c>
      <c r="E53" s="748"/>
      <c r="F53" s="749"/>
      <c r="G53" s="749" t="str">
        <f t="shared" si="1"/>
        <v/>
      </c>
      <c r="H53" s="749"/>
      <c r="I53" s="748"/>
      <c r="J53" s="749"/>
      <c r="K53" s="749" t="str">
        <f t="shared" si="2"/>
        <v/>
      </c>
      <c r="L53" s="749"/>
      <c r="M53" s="748"/>
      <c r="N53" s="749"/>
      <c r="O53" s="749" t="str">
        <f t="shared" si="3"/>
        <v/>
      </c>
      <c r="P53" s="749"/>
      <c r="Q53" s="748"/>
      <c r="R53" s="749"/>
      <c r="S53" s="749" t="str">
        <f t="shared" si="4"/>
        <v/>
      </c>
      <c r="T53" s="749"/>
      <c r="U53" s="748"/>
      <c r="V53" s="749"/>
      <c r="W53" s="749"/>
      <c r="X53" s="749"/>
      <c r="Y53" s="748"/>
      <c r="Z53" s="749"/>
      <c r="AA53" s="749" t="str">
        <f t="shared" si="6"/>
        <v/>
      </c>
      <c r="AB53" s="749"/>
      <c r="AC53" s="748"/>
      <c r="AD53" s="749"/>
      <c r="AE53" s="749"/>
      <c r="AF53" s="749"/>
      <c r="AG53" s="748"/>
      <c r="AH53" s="749"/>
      <c r="AI53" s="749" t="str">
        <f t="shared" si="8"/>
        <v/>
      </c>
      <c r="AJ53" s="749"/>
      <c r="AK53" s="748"/>
      <c r="AL53" s="749"/>
      <c r="AM53" s="749" t="str">
        <f t="shared" si="9"/>
        <v/>
      </c>
      <c r="AN53" s="749"/>
      <c r="AO53" s="748"/>
      <c r="AP53" s="749"/>
      <c r="AQ53" s="749" t="str">
        <f t="shared" si="10"/>
        <v/>
      </c>
      <c r="AR53" s="750"/>
      <c r="AS53" s="751"/>
    </row>
    <row r="54" spans="1:45" x14ac:dyDescent="0.25">
      <c r="A54" s="748"/>
      <c r="B54" s="749"/>
      <c r="C54" s="749" t="str">
        <f t="shared" si="0"/>
        <v/>
      </c>
      <c r="D54" s="749"/>
      <c r="E54" s="748">
        <v>13</v>
      </c>
      <c r="F54" s="749" t="s">
        <v>344</v>
      </c>
      <c r="G54" s="749" t="str">
        <f t="shared" si="1"/>
        <v>/</v>
      </c>
      <c r="H54" s="749" t="s">
        <v>345</v>
      </c>
      <c r="I54" s="748"/>
      <c r="J54" s="749"/>
      <c r="K54" s="749" t="str">
        <f t="shared" si="2"/>
        <v/>
      </c>
      <c r="L54" s="749"/>
      <c r="M54" s="748"/>
      <c r="N54" s="749"/>
      <c r="O54" s="749" t="str">
        <f t="shared" si="3"/>
        <v/>
      </c>
      <c r="P54" s="749"/>
      <c r="Q54" s="748"/>
      <c r="R54" s="749"/>
      <c r="S54" s="749" t="str">
        <f t="shared" si="4"/>
        <v/>
      </c>
      <c r="T54" s="749"/>
      <c r="U54" s="748"/>
      <c r="V54" s="749"/>
      <c r="W54" s="749"/>
      <c r="X54" s="749"/>
      <c r="Y54" s="748"/>
      <c r="Z54" s="749"/>
      <c r="AA54" s="749" t="str">
        <f t="shared" si="6"/>
        <v/>
      </c>
      <c r="AB54" s="749"/>
      <c r="AC54" s="748"/>
      <c r="AD54" s="749"/>
      <c r="AE54" s="749"/>
      <c r="AF54" s="749"/>
      <c r="AG54" s="748"/>
      <c r="AH54" s="749"/>
      <c r="AI54" s="749" t="str">
        <f t="shared" si="8"/>
        <v/>
      </c>
      <c r="AJ54" s="749"/>
      <c r="AK54" s="748"/>
      <c r="AL54" s="749"/>
      <c r="AM54" s="749" t="str">
        <f t="shared" si="9"/>
        <v/>
      </c>
      <c r="AN54" s="749"/>
      <c r="AO54" s="748"/>
      <c r="AP54" s="749"/>
      <c r="AQ54" s="749" t="str">
        <f t="shared" si="10"/>
        <v/>
      </c>
      <c r="AR54" s="750"/>
      <c r="AS54" s="751"/>
    </row>
    <row r="55" spans="1:45" x14ac:dyDescent="0.25">
      <c r="A55" s="748">
        <v>26</v>
      </c>
      <c r="B55" s="749" t="s">
        <v>346</v>
      </c>
      <c r="C55" s="749" t="str">
        <f t="shared" si="0"/>
        <v>/</v>
      </c>
      <c r="D55" s="749" t="s">
        <v>347</v>
      </c>
      <c r="E55" s="748"/>
      <c r="F55" s="749"/>
      <c r="G55" s="749" t="str">
        <f t="shared" si="1"/>
        <v/>
      </c>
      <c r="H55" s="749"/>
      <c r="I55" s="748"/>
      <c r="J55" s="749"/>
      <c r="K55" s="749" t="str">
        <f t="shared" si="2"/>
        <v/>
      </c>
      <c r="L55" s="749"/>
      <c r="M55" s="748"/>
      <c r="N55" s="749"/>
      <c r="O55" s="749" t="str">
        <f t="shared" si="3"/>
        <v/>
      </c>
      <c r="P55" s="749"/>
      <c r="Q55" s="748"/>
      <c r="R55" s="749"/>
      <c r="S55" s="749" t="str">
        <f t="shared" si="4"/>
        <v/>
      </c>
      <c r="T55" s="749"/>
      <c r="U55" s="748"/>
      <c r="V55" s="749"/>
      <c r="W55" s="749" t="str">
        <f t="shared" si="5"/>
        <v/>
      </c>
      <c r="X55" s="749"/>
      <c r="Y55" s="748"/>
      <c r="Z55" s="749"/>
      <c r="AA55" s="749" t="str">
        <f t="shared" si="6"/>
        <v/>
      </c>
      <c r="AB55" s="749"/>
      <c r="AC55" s="748"/>
      <c r="AD55" s="749"/>
      <c r="AE55" s="749" t="str">
        <f t="shared" si="7"/>
        <v/>
      </c>
      <c r="AF55" s="749"/>
      <c r="AG55" s="748"/>
      <c r="AH55" s="749"/>
      <c r="AI55" s="749" t="str">
        <f t="shared" si="8"/>
        <v/>
      </c>
      <c r="AJ55" s="749"/>
      <c r="AK55" s="748"/>
      <c r="AL55" s="749"/>
      <c r="AM55" s="749" t="str">
        <f t="shared" si="9"/>
        <v/>
      </c>
      <c r="AN55" s="749"/>
      <c r="AO55" s="748"/>
      <c r="AP55" s="749"/>
      <c r="AQ55" s="749" t="str">
        <f t="shared" si="10"/>
        <v/>
      </c>
      <c r="AR55" s="750"/>
      <c r="AS55" s="751"/>
    </row>
    <row r="56" spans="1:45" x14ac:dyDescent="0.25">
      <c r="A56" s="748"/>
      <c r="B56" s="749"/>
      <c r="C56" s="749" t="str">
        <f t="shared" si="0"/>
        <v/>
      </c>
      <c r="D56" s="749"/>
      <c r="E56" s="748"/>
      <c r="F56" s="749"/>
      <c r="G56" s="749" t="str">
        <f t="shared" si="1"/>
        <v/>
      </c>
      <c r="H56" s="749"/>
      <c r="I56" s="748">
        <v>7</v>
      </c>
      <c r="J56" s="749" t="s">
        <v>348</v>
      </c>
      <c r="K56" s="749" t="str">
        <f t="shared" si="2"/>
        <v>/</v>
      </c>
      <c r="L56" s="749" t="s">
        <v>349</v>
      </c>
      <c r="M56" s="748"/>
      <c r="N56" s="749"/>
      <c r="O56" s="749" t="str">
        <f t="shared" si="3"/>
        <v/>
      </c>
      <c r="P56" s="749"/>
      <c r="Q56" s="748"/>
      <c r="R56" s="749"/>
      <c r="S56" s="749" t="str">
        <f t="shared" si="4"/>
        <v/>
      </c>
      <c r="T56" s="749"/>
      <c r="U56" s="748"/>
      <c r="V56" s="749"/>
      <c r="W56" s="749" t="str">
        <f t="shared" si="5"/>
        <v/>
      </c>
      <c r="X56" s="749"/>
      <c r="Y56" s="748"/>
      <c r="Z56" s="749"/>
      <c r="AA56" s="749" t="str">
        <f t="shared" si="6"/>
        <v/>
      </c>
      <c r="AB56" s="749"/>
      <c r="AC56" s="748"/>
      <c r="AD56" s="749"/>
      <c r="AE56" s="749" t="str">
        <f t="shared" si="7"/>
        <v/>
      </c>
      <c r="AF56" s="749"/>
      <c r="AG56" s="748"/>
      <c r="AH56" s="749"/>
      <c r="AI56" s="749" t="str">
        <f t="shared" si="8"/>
        <v/>
      </c>
      <c r="AJ56" s="749"/>
      <c r="AK56" s="748"/>
      <c r="AL56" s="749"/>
      <c r="AM56" s="749" t="str">
        <f t="shared" si="9"/>
        <v/>
      </c>
      <c r="AN56" s="749"/>
      <c r="AO56" s="748"/>
      <c r="AP56" s="749"/>
      <c r="AQ56" s="749" t="str">
        <f t="shared" si="10"/>
        <v/>
      </c>
      <c r="AR56" s="750"/>
      <c r="AS56" s="751"/>
    </row>
    <row r="57" spans="1:45" x14ac:dyDescent="0.25">
      <c r="A57" s="748">
        <v>27</v>
      </c>
      <c r="B57" s="749" t="s">
        <v>350</v>
      </c>
      <c r="C57" s="749" t="str">
        <f t="shared" si="0"/>
        <v>/</v>
      </c>
      <c r="D57" s="749" t="s">
        <v>351</v>
      </c>
      <c r="E57" s="748"/>
      <c r="F57" s="749"/>
      <c r="G57" s="749" t="str">
        <f t="shared" si="1"/>
        <v/>
      </c>
      <c r="H57" s="749"/>
      <c r="I57" s="748"/>
      <c r="J57" s="749"/>
      <c r="K57" s="749" t="str">
        <f t="shared" si="2"/>
        <v/>
      </c>
      <c r="L57" s="749"/>
      <c r="M57" s="748"/>
      <c r="N57" s="749"/>
      <c r="O57" s="749" t="str">
        <f t="shared" si="3"/>
        <v/>
      </c>
      <c r="P57" s="749"/>
      <c r="Q57" s="748"/>
      <c r="R57" s="749"/>
      <c r="S57" s="749" t="str">
        <f t="shared" si="4"/>
        <v/>
      </c>
      <c r="T57" s="749"/>
      <c r="U57" s="748"/>
      <c r="V57" s="749"/>
      <c r="W57" s="749" t="str">
        <f t="shared" si="5"/>
        <v/>
      </c>
      <c r="X57" s="749"/>
      <c r="Y57" s="748"/>
      <c r="Z57" s="749"/>
      <c r="AA57" s="749" t="str">
        <f t="shared" si="6"/>
        <v/>
      </c>
      <c r="AB57" s="749"/>
      <c r="AC57" s="748"/>
      <c r="AD57" s="749"/>
      <c r="AE57" s="749" t="str">
        <f t="shared" si="7"/>
        <v/>
      </c>
      <c r="AF57" s="749"/>
      <c r="AG57" s="748"/>
      <c r="AH57" s="749"/>
      <c r="AI57" s="749" t="str">
        <f t="shared" si="8"/>
        <v/>
      </c>
      <c r="AJ57" s="749"/>
      <c r="AK57" s="748"/>
      <c r="AL57" s="749"/>
      <c r="AM57" s="749" t="str">
        <f t="shared" si="9"/>
        <v/>
      </c>
      <c r="AN57" s="749"/>
      <c r="AO57" s="748"/>
      <c r="AP57" s="749"/>
      <c r="AQ57" s="749" t="str">
        <f t="shared" si="10"/>
        <v/>
      </c>
      <c r="AR57" s="750"/>
      <c r="AS57" s="751"/>
    </row>
    <row r="58" spans="1:45" x14ac:dyDescent="0.25">
      <c r="A58" s="748"/>
      <c r="B58" s="749"/>
      <c r="C58" s="749" t="str">
        <f t="shared" si="0"/>
        <v/>
      </c>
      <c r="D58" s="749"/>
      <c r="E58" s="748">
        <v>14</v>
      </c>
      <c r="F58" s="749" t="s">
        <v>352</v>
      </c>
      <c r="G58" s="749" t="str">
        <f t="shared" si="1"/>
        <v>/</v>
      </c>
      <c r="H58" s="749" t="s">
        <v>353</v>
      </c>
      <c r="I58" s="748"/>
      <c r="J58" s="749"/>
      <c r="K58" s="749" t="str">
        <f t="shared" si="2"/>
        <v/>
      </c>
      <c r="L58" s="749"/>
      <c r="M58" s="748"/>
      <c r="N58" s="749"/>
      <c r="O58" s="749" t="str">
        <f t="shared" si="3"/>
        <v/>
      </c>
      <c r="P58" s="749"/>
      <c r="Q58" s="748"/>
      <c r="R58" s="749"/>
      <c r="S58" s="749" t="str">
        <f t="shared" si="4"/>
        <v/>
      </c>
      <c r="T58" s="749"/>
      <c r="U58" s="748"/>
      <c r="V58" s="749"/>
      <c r="W58" s="749" t="str">
        <f t="shared" si="5"/>
        <v/>
      </c>
      <c r="X58" s="749"/>
      <c r="Y58" s="748"/>
      <c r="Z58" s="749"/>
      <c r="AA58" s="749" t="str">
        <f t="shared" si="6"/>
        <v/>
      </c>
      <c r="AB58" s="749"/>
      <c r="AC58" s="748"/>
      <c r="AD58" s="749"/>
      <c r="AE58" s="749" t="str">
        <f t="shared" si="7"/>
        <v/>
      </c>
      <c r="AF58" s="749"/>
      <c r="AG58" s="748"/>
      <c r="AH58" s="749"/>
      <c r="AI58" s="749" t="str">
        <f t="shared" si="8"/>
        <v/>
      </c>
      <c r="AJ58" s="749"/>
      <c r="AK58" s="748"/>
      <c r="AL58" s="749"/>
      <c r="AM58" s="749" t="str">
        <f t="shared" si="9"/>
        <v/>
      </c>
      <c r="AN58" s="749"/>
      <c r="AO58" s="748"/>
      <c r="AP58" s="749"/>
      <c r="AQ58" s="749" t="str">
        <f t="shared" si="10"/>
        <v/>
      </c>
      <c r="AR58" s="750"/>
      <c r="AS58" s="751"/>
    </row>
    <row r="59" spans="1:45" x14ac:dyDescent="0.25">
      <c r="A59" s="748">
        <v>28</v>
      </c>
      <c r="B59" s="749" t="s">
        <v>354</v>
      </c>
      <c r="C59" s="749" t="str">
        <f t="shared" si="0"/>
        <v>/</v>
      </c>
      <c r="D59" s="749" t="s">
        <v>355</v>
      </c>
      <c r="E59" s="748"/>
      <c r="F59" s="749"/>
      <c r="G59" s="749" t="str">
        <f t="shared" si="1"/>
        <v/>
      </c>
      <c r="H59" s="749"/>
      <c r="I59" s="748"/>
      <c r="J59" s="749"/>
      <c r="K59" s="749" t="str">
        <f t="shared" si="2"/>
        <v/>
      </c>
      <c r="L59" s="749"/>
      <c r="M59" s="748"/>
      <c r="N59" s="749"/>
      <c r="O59" s="749" t="str">
        <f t="shared" si="3"/>
        <v/>
      </c>
      <c r="P59" s="749"/>
      <c r="Q59" s="748"/>
      <c r="R59" s="749"/>
      <c r="S59" s="749" t="str">
        <f t="shared" si="4"/>
        <v/>
      </c>
      <c r="T59" s="749"/>
      <c r="U59" s="748"/>
      <c r="V59" s="749"/>
      <c r="W59" s="749" t="str">
        <f t="shared" si="5"/>
        <v/>
      </c>
      <c r="X59" s="749"/>
      <c r="Y59" s="748"/>
      <c r="Z59" s="749"/>
      <c r="AA59" s="749" t="str">
        <f t="shared" si="6"/>
        <v/>
      </c>
      <c r="AB59" s="749"/>
      <c r="AC59" s="748"/>
      <c r="AD59" s="749"/>
      <c r="AE59" s="749" t="str">
        <f t="shared" si="7"/>
        <v/>
      </c>
      <c r="AF59" s="749"/>
      <c r="AG59" s="748"/>
      <c r="AH59" s="749"/>
      <c r="AI59" s="749" t="str">
        <f t="shared" si="8"/>
        <v/>
      </c>
      <c r="AJ59" s="749"/>
      <c r="AK59" s="748"/>
      <c r="AL59" s="749"/>
      <c r="AM59" s="749" t="str">
        <f t="shared" si="9"/>
        <v/>
      </c>
      <c r="AN59" s="749"/>
      <c r="AO59" s="748"/>
      <c r="AP59" s="749"/>
      <c r="AQ59" s="749" t="str">
        <f t="shared" si="10"/>
        <v/>
      </c>
      <c r="AR59" s="750"/>
      <c r="AS59" s="751"/>
    </row>
    <row r="60" spans="1:45" x14ac:dyDescent="0.25">
      <c r="A60" s="748"/>
      <c r="B60" s="749"/>
      <c r="C60" s="749" t="str">
        <f t="shared" si="0"/>
        <v/>
      </c>
      <c r="D60" s="749"/>
      <c r="E60" s="748"/>
      <c r="F60" s="749"/>
      <c r="G60" s="749" t="str">
        <f t="shared" si="1"/>
        <v/>
      </c>
      <c r="H60" s="749"/>
      <c r="I60" s="748"/>
      <c r="J60" s="749"/>
      <c r="K60" s="749" t="str">
        <f t="shared" si="2"/>
        <v/>
      </c>
      <c r="L60" s="749"/>
      <c r="M60" s="748">
        <v>4</v>
      </c>
      <c r="N60" s="749" t="s">
        <v>356</v>
      </c>
      <c r="O60" s="749" t="str">
        <f t="shared" si="3"/>
        <v>/</v>
      </c>
      <c r="P60" s="749" t="s">
        <v>357</v>
      </c>
      <c r="Q60" s="748"/>
      <c r="R60" s="749"/>
      <c r="S60" s="749" t="str">
        <f t="shared" si="4"/>
        <v/>
      </c>
      <c r="T60" s="749"/>
      <c r="U60" s="748"/>
      <c r="V60" s="749"/>
      <c r="W60" s="749" t="str">
        <f t="shared" si="5"/>
        <v/>
      </c>
      <c r="X60" s="749"/>
      <c r="Y60" s="748"/>
      <c r="Z60" s="749"/>
      <c r="AA60" s="749" t="str">
        <f t="shared" si="6"/>
        <v/>
      </c>
      <c r="AB60" s="749"/>
      <c r="AC60" s="748"/>
      <c r="AD60" s="749"/>
      <c r="AE60" s="749" t="str">
        <f t="shared" si="7"/>
        <v/>
      </c>
      <c r="AF60" s="749"/>
      <c r="AG60" s="748"/>
      <c r="AH60" s="749"/>
      <c r="AI60" s="749" t="str">
        <f t="shared" si="8"/>
        <v/>
      </c>
      <c r="AJ60" s="749"/>
      <c r="AK60" s="748"/>
      <c r="AL60" s="749"/>
      <c r="AM60" s="749" t="str">
        <f t="shared" si="9"/>
        <v/>
      </c>
      <c r="AN60" s="749"/>
      <c r="AO60" s="748"/>
      <c r="AP60" s="749"/>
      <c r="AQ60" s="749" t="str">
        <f t="shared" si="10"/>
        <v/>
      </c>
      <c r="AR60" s="750"/>
      <c r="AS60" s="751"/>
    </row>
    <row r="61" spans="1:45" x14ac:dyDescent="0.25">
      <c r="A61" s="748">
        <v>29</v>
      </c>
      <c r="B61" s="749" t="s">
        <v>358</v>
      </c>
      <c r="C61" s="749" t="str">
        <f t="shared" si="0"/>
        <v>/</v>
      </c>
      <c r="D61" s="749" t="s">
        <v>359</v>
      </c>
      <c r="E61" s="748"/>
      <c r="F61" s="749"/>
      <c r="G61" s="749" t="str">
        <f t="shared" si="1"/>
        <v/>
      </c>
      <c r="H61" s="749"/>
      <c r="I61" s="748"/>
      <c r="J61" s="749"/>
      <c r="K61" s="749" t="str">
        <f t="shared" si="2"/>
        <v/>
      </c>
      <c r="L61" s="749"/>
      <c r="M61" s="748"/>
      <c r="N61" s="749"/>
      <c r="O61" s="749" t="str">
        <f t="shared" si="3"/>
        <v/>
      </c>
      <c r="P61" s="749"/>
      <c r="Q61" s="748"/>
      <c r="R61" s="749"/>
      <c r="S61" s="749" t="str">
        <f t="shared" si="4"/>
        <v/>
      </c>
      <c r="T61" s="749"/>
      <c r="U61" s="748"/>
      <c r="V61" s="749"/>
      <c r="W61" s="749" t="str">
        <f t="shared" si="5"/>
        <v/>
      </c>
      <c r="X61" s="749"/>
      <c r="Y61" s="748"/>
      <c r="Z61" s="749"/>
      <c r="AA61" s="749" t="str">
        <f t="shared" si="6"/>
        <v/>
      </c>
      <c r="AB61" s="749"/>
      <c r="AC61" s="748"/>
      <c r="AD61" s="749"/>
      <c r="AE61" s="749" t="str">
        <f t="shared" si="7"/>
        <v/>
      </c>
      <c r="AF61" s="749"/>
      <c r="AG61" s="748"/>
      <c r="AH61" s="749"/>
      <c r="AI61" s="749" t="str">
        <f t="shared" si="8"/>
        <v/>
      </c>
      <c r="AJ61" s="749"/>
      <c r="AK61" s="748"/>
      <c r="AL61" s="749"/>
      <c r="AM61" s="749" t="str">
        <f t="shared" si="9"/>
        <v/>
      </c>
      <c r="AN61" s="749"/>
      <c r="AO61" s="748"/>
      <c r="AP61" s="749"/>
      <c r="AQ61" s="749" t="str">
        <f t="shared" si="10"/>
        <v/>
      </c>
      <c r="AR61" s="750"/>
      <c r="AS61" s="751"/>
    </row>
    <row r="62" spans="1:45" x14ac:dyDescent="0.25">
      <c r="A62" s="748"/>
      <c r="B62" s="749"/>
      <c r="C62" s="749" t="str">
        <f t="shared" si="0"/>
        <v/>
      </c>
      <c r="D62" s="749"/>
      <c r="E62" s="748">
        <v>15</v>
      </c>
      <c r="F62" s="749" t="s">
        <v>360</v>
      </c>
      <c r="G62" s="749" t="str">
        <f t="shared" si="1"/>
        <v>/</v>
      </c>
      <c r="H62" s="749" t="s">
        <v>361</v>
      </c>
      <c r="I62" s="748"/>
      <c r="J62" s="749"/>
      <c r="K62" s="749" t="str">
        <f t="shared" si="2"/>
        <v/>
      </c>
      <c r="L62" s="749"/>
      <c r="M62" s="748"/>
      <c r="N62" s="749"/>
      <c r="O62" s="749" t="str">
        <f t="shared" si="3"/>
        <v/>
      </c>
      <c r="P62" s="749"/>
      <c r="Q62" s="748"/>
      <c r="R62" s="749"/>
      <c r="S62" s="749" t="str">
        <f t="shared" si="4"/>
        <v/>
      </c>
      <c r="T62" s="749"/>
      <c r="U62" s="748"/>
      <c r="V62" s="749"/>
      <c r="W62" s="749" t="str">
        <f t="shared" si="5"/>
        <v/>
      </c>
      <c r="X62" s="749"/>
      <c r="Y62" s="748"/>
      <c r="Z62" s="749"/>
      <c r="AA62" s="749" t="str">
        <f t="shared" si="6"/>
        <v/>
      </c>
      <c r="AB62" s="749"/>
      <c r="AC62" s="748"/>
      <c r="AD62" s="749"/>
      <c r="AE62" s="749" t="str">
        <f t="shared" si="7"/>
        <v/>
      </c>
      <c r="AF62" s="749"/>
      <c r="AG62" s="748"/>
      <c r="AH62" s="749"/>
      <c r="AI62" s="749" t="str">
        <f t="shared" si="8"/>
        <v/>
      </c>
      <c r="AJ62" s="749"/>
      <c r="AK62" s="748"/>
      <c r="AL62" s="749"/>
      <c r="AM62" s="749" t="str">
        <f t="shared" si="9"/>
        <v/>
      </c>
      <c r="AN62" s="749"/>
      <c r="AO62" s="748"/>
      <c r="AP62" s="749"/>
      <c r="AQ62" s="749" t="str">
        <f t="shared" si="10"/>
        <v/>
      </c>
      <c r="AR62" s="750"/>
      <c r="AS62" s="751"/>
    </row>
    <row r="63" spans="1:45" x14ac:dyDescent="0.25">
      <c r="A63" s="748">
        <v>30</v>
      </c>
      <c r="B63" s="749" t="s">
        <v>362</v>
      </c>
      <c r="C63" s="749" t="str">
        <f t="shared" si="0"/>
        <v>/</v>
      </c>
      <c r="D63" s="749" t="s">
        <v>363</v>
      </c>
      <c r="E63" s="748"/>
      <c r="F63" s="749"/>
      <c r="G63" s="749" t="str">
        <f t="shared" si="1"/>
        <v/>
      </c>
      <c r="H63" s="749"/>
      <c r="I63" s="748"/>
      <c r="J63" s="749"/>
      <c r="K63" s="749" t="str">
        <f t="shared" si="2"/>
        <v/>
      </c>
      <c r="L63" s="749"/>
      <c r="M63" s="748"/>
      <c r="N63" s="749"/>
      <c r="O63" s="749" t="str">
        <f t="shared" si="3"/>
        <v/>
      </c>
      <c r="P63" s="749"/>
      <c r="Q63" s="748"/>
      <c r="R63" s="749"/>
      <c r="S63" s="749" t="str">
        <f t="shared" si="4"/>
        <v/>
      </c>
      <c r="T63" s="749"/>
      <c r="U63" s="748"/>
      <c r="V63" s="749"/>
      <c r="W63" s="749" t="str">
        <f t="shared" si="5"/>
        <v/>
      </c>
      <c r="X63" s="749"/>
      <c r="Y63" s="748"/>
      <c r="Z63" s="749"/>
      <c r="AA63" s="749" t="str">
        <f t="shared" si="6"/>
        <v/>
      </c>
      <c r="AB63" s="749"/>
      <c r="AC63" s="748"/>
      <c r="AD63" s="749"/>
      <c r="AE63" s="749" t="str">
        <f t="shared" si="7"/>
        <v/>
      </c>
      <c r="AF63" s="749"/>
      <c r="AG63" s="748"/>
      <c r="AH63" s="749"/>
      <c r="AI63" s="749" t="str">
        <f t="shared" si="8"/>
        <v/>
      </c>
      <c r="AJ63" s="749"/>
      <c r="AK63" s="748"/>
      <c r="AL63" s="749"/>
      <c r="AM63" s="749" t="str">
        <f t="shared" si="9"/>
        <v/>
      </c>
      <c r="AN63" s="749"/>
      <c r="AO63" s="748"/>
      <c r="AP63" s="749"/>
      <c r="AQ63" s="749" t="str">
        <f t="shared" si="10"/>
        <v/>
      </c>
      <c r="AR63" s="750"/>
      <c r="AS63" s="751"/>
    </row>
    <row r="64" spans="1:45" x14ac:dyDescent="0.25">
      <c r="A64" s="748"/>
      <c r="B64" s="749"/>
      <c r="C64" s="749" t="str">
        <f t="shared" si="0"/>
        <v/>
      </c>
      <c r="D64" s="749"/>
      <c r="E64" s="748"/>
      <c r="F64" s="749"/>
      <c r="G64" s="749" t="str">
        <f t="shared" si="1"/>
        <v/>
      </c>
      <c r="H64" s="749"/>
      <c r="I64" s="748">
        <v>8</v>
      </c>
      <c r="J64" s="749" t="s">
        <v>364</v>
      </c>
      <c r="K64" s="749" t="str">
        <f t="shared" si="2"/>
        <v>/</v>
      </c>
      <c r="L64" s="749" t="s">
        <v>365</v>
      </c>
      <c r="M64" s="748"/>
      <c r="N64" s="749"/>
      <c r="O64" s="749" t="str">
        <f t="shared" si="3"/>
        <v/>
      </c>
      <c r="P64" s="749"/>
      <c r="Q64" s="748">
        <v>3</v>
      </c>
      <c r="R64" s="749" t="s">
        <v>364</v>
      </c>
      <c r="S64" s="749" t="str">
        <f t="shared" si="4"/>
        <v>/</v>
      </c>
      <c r="T64" s="749" t="s">
        <v>365</v>
      </c>
      <c r="U64" s="748"/>
      <c r="V64" s="749"/>
      <c r="W64" s="749" t="str">
        <f t="shared" si="5"/>
        <v/>
      </c>
      <c r="X64" s="749"/>
      <c r="Y64" s="757">
        <v>2</v>
      </c>
      <c r="Z64" s="758" t="s">
        <v>364</v>
      </c>
      <c r="AA64" s="758" t="str">
        <f t="shared" si="6"/>
        <v>/</v>
      </c>
      <c r="AB64" s="758" t="s">
        <v>365</v>
      </c>
      <c r="AC64" s="748"/>
      <c r="AD64" s="749"/>
      <c r="AE64" s="749" t="str">
        <f t="shared" si="7"/>
        <v/>
      </c>
      <c r="AF64" s="749"/>
      <c r="AG64" s="748"/>
      <c r="AH64" s="749"/>
      <c r="AI64" s="749" t="str">
        <f t="shared" si="8"/>
        <v/>
      </c>
      <c r="AJ64" s="749"/>
      <c r="AK64" s="748"/>
      <c r="AL64" s="749"/>
      <c r="AM64" s="749" t="str">
        <f t="shared" si="9"/>
        <v/>
      </c>
      <c r="AN64" s="749"/>
      <c r="AO64" s="748"/>
      <c r="AP64" s="749"/>
      <c r="AQ64" s="749" t="str">
        <f t="shared" si="10"/>
        <v/>
      </c>
      <c r="AR64" s="750"/>
      <c r="AS64" s="751"/>
    </row>
    <row r="65" spans="1:45" x14ac:dyDescent="0.25">
      <c r="A65" s="748">
        <v>31</v>
      </c>
      <c r="B65" s="749" t="s">
        <v>366</v>
      </c>
      <c r="C65" s="749" t="str">
        <f t="shared" si="0"/>
        <v>/</v>
      </c>
      <c r="D65" s="749" t="s">
        <v>367</v>
      </c>
      <c r="E65" s="748"/>
      <c r="F65" s="749"/>
      <c r="G65" s="749" t="str">
        <f t="shared" si="1"/>
        <v/>
      </c>
      <c r="H65" s="749"/>
      <c r="I65" s="748"/>
      <c r="J65" s="749"/>
      <c r="K65" s="749" t="str">
        <f t="shared" si="2"/>
        <v/>
      </c>
      <c r="L65" s="749"/>
      <c r="M65" s="748"/>
      <c r="N65" s="749"/>
      <c r="O65" s="749" t="str">
        <f t="shared" si="3"/>
        <v/>
      </c>
      <c r="P65" s="749"/>
      <c r="Q65" s="748"/>
      <c r="R65" s="749"/>
      <c r="S65" s="749" t="str">
        <f t="shared" si="4"/>
        <v/>
      </c>
      <c r="T65" s="749"/>
      <c r="U65" s="748"/>
      <c r="V65" s="749"/>
      <c r="W65" s="749" t="str">
        <f t="shared" si="5"/>
        <v/>
      </c>
      <c r="X65" s="749"/>
      <c r="Y65" s="748"/>
      <c r="Z65" s="749"/>
      <c r="AA65" s="749" t="str">
        <f t="shared" si="6"/>
        <v/>
      </c>
      <c r="AB65" s="749"/>
      <c r="AC65" s="748"/>
      <c r="AD65" s="749"/>
      <c r="AE65" s="749" t="str">
        <f t="shared" si="7"/>
        <v/>
      </c>
      <c r="AF65" s="749"/>
      <c r="AG65" s="748"/>
      <c r="AH65" s="749"/>
      <c r="AI65" s="749" t="str">
        <f t="shared" si="8"/>
        <v/>
      </c>
      <c r="AJ65" s="749"/>
      <c r="AK65" s="748"/>
      <c r="AL65" s="749"/>
      <c r="AM65" s="749" t="str">
        <f t="shared" si="9"/>
        <v/>
      </c>
      <c r="AN65" s="749"/>
      <c r="AO65" s="748"/>
      <c r="AP65" s="749"/>
      <c r="AQ65" s="749" t="str">
        <f t="shared" si="10"/>
        <v/>
      </c>
      <c r="AR65" s="750"/>
      <c r="AS65" s="751"/>
    </row>
    <row r="66" spans="1:45" x14ac:dyDescent="0.25">
      <c r="A66" s="748"/>
      <c r="B66" s="749"/>
      <c r="C66" s="749" t="str">
        <f t="shared" si="0"/>
        <v/>
      </c>
      <c r="D66" s="749"/>
      <c r="E66" s="748">
        <v>16</v>
      </c>
      <c r="F66" s="749" t="s">
        <v>368</v>
      </c>
      <c r="G66" s="749" t="str">
        <f t="shared" si="1"/>
        <v>/</v>
      </c>
      <c r="H66" s="749" t="s">
        <v>369</v>
      </c>
      <c r="I66" s="748"/>
      <c r="J66" s="749"/>
      <c r="K66" s="749" t="str">
        <f t="shared" si="2"/>
        <v/>
      </c>
      <c r="L66" s="749"/>
      <c r="M66" s="748"/>
      <c r="N66" s="749"/>
      <c r="O66" s="749" t="str">
        <f t="shared" si="3"/>
        <v/>
      </c>
      <c r="P66" s="749"/>
      <c r="Q66" s="748"/>
      <c r="R66" s="749"/>
      <c r="S66" s="749" t="str">
        <f t="shared" si="4"/>
        <v/>
      </c>
      <c r="T66" s="749"/>
      <c r="U66" s="748"/>
      <c r="V66" s="749"/>
      <c r="W66" s="749" t="str">
        <f t="shared" si="5"/>
        <v/>
      </c>
      <c r="X66" s="749"/>
      <c r="Y66" s="748"/>
      <c r="Z66" s="749"/>
      <c r="AA66" s="749" t="str">
        <f t="shared" si="6"/>
        <v/>
      </c>
      <c r="AB66" s="749"/>
      <c r="AC66" s="748"/>
      <c r="AD66" s="749"/>
      <c r="AE66" s="749" t="str">
        <f t="shared" si="7"/>
        <v/>
      </c>
      <c r="AF66" s="749"/>
      <c r="AG66" s="748"/>
      <c r="AH66" s="749"/>
      <c r="AI66" s="749" t="str">
        <f t="shared" si="8"/>
        <v/>
      </c>
      <c r="AJ66" s="749"/>
      <c r="AK66" s="748"/>
      <c r="AL66" s="749"/>
      <c r="AM66" s="749" t="str">
        <f t="shared" si="9"/>
        <v/>
      </c>
      <c r="AN66" s="749"/>
      <c r="AO66" s="748"/>
      <c r="AP66" s="749"/>
      <c r="AQ66" s="749" t="str">
        <f t="shared" si="10"/>
        <v/>
      </c>
      <c r="AR66" s="750"/>
      <c r="AS66" s="751"/>
    </row>
    <row r="67" spans="1:45" x14ac:dyDescent="0.25">
      <c r="A67" s="748">
        <v>32</v>
      </c>
      <c r="B67" s="749" t="s">
        <v>370</v>
      </c>
      <c r="C67" s="749" t="str">
        <f t="shared" si="0"/>
        <v>/</v>
      </c>
      <c r="D67" s="749" t="s">
        <v>371</v>
      </c>
      <c r="E67" s="748"/>
      <c r="F67" s="749"/>
      <c r="G67" s="749" t="str">
        <f t="shared" si="1"/>
        <v/>
      </c>
      <c r="H67" s="749"/>
      <c r="I67" s="748"/>
      <c r="J67" s="749"/>
      <c r="K67" s="749" t="str">
        <f t="shared" si="2"/>
        <v/>
      </c>
      <c r="L67" s="749"/>
      <c r="M67" s="748"/>
      <c r="N67" s="749"/>
      <c r="O67" s="749" t="str">
        <f t="shared" si="3"/>
        <v/>
      </c>
      <c r="P67" s="749"/>
      <c r="Q67" s="748"/>
      <c r="R67" s="749"/>
      <c r="S67" s="749" t="str">
        <f t="shared" si="4"/>
        <v/>
      </c>
      <c r="T67" s="749"/>
      <c r="U67" s="748"/>
      <c r="V67" s="749"/>
      <c r="W67" s="749" t="str">
        <f t="shared" si="5"/>
        <v/>
      </c>
      <c r="X67" s="749"/>
      <c r="Y67" s="748"/>
      <c r="Z67" s="749"/>
      <c r="AA67" s="749" t="str">
        <f t="shared" si="6"/>
        <v/>
      </c>
      <c r="AB67" s="749"/>
      <c r="AC67" s="748"/>
      <c r="AD67" s="749"/>
      <c r="AE67" s="749" t="str">
        <f t="shared" si="7"/>
        <v/>
      </c>
      <c r="AF67" s="749"/>
      <c r="AG67" s="748"/>
      <c r="AH67" s="749"/>
      <c r="AI67" s="749" t="str">
        <f t="shared" si="8"/>
        <v/>
      </c>
      <c r="AJ67" s="749"/>
      <c r="AK67" s="748"/>
      <c r="AL67" s="749"/>
      <c r="AM67" s="749" t="str">
        <f t="shared" si="9"/>
        <v/>
      </c>
      <c r="AN67" s="749"/>
      <c r="AO67" s="748"/>
      <c r="AP67" s="749"/>
      <c r="AQ67" s="749" t="str">
        <f t="shared" si="10"/>
        <v/>
      </c>
      <c r="AR67" s="750"/>
      <c r="AS67" s="751"/>
    </row>
    <row r="68" spans="1:45" x14ac:dyDescent="0.25">
      <c r="A68" s="748"/>
      <c r="B68" s="749"/>
      <c r="C68" s="749" t="str">
        <f t="shared" si="0"/>
        <v/>
      </c>
      <c r="D68" s="749"/>
      <c r="E68" s="748"/>
      <c r="F68" s="749"/>
      <c r="G68" s="749" t="str">
        <f t="shared" si="1"/>
        <v/>
      </c>
      <c r="H68" s="749"/>
      <c r="I68" s="748"/>
      <c r="J68" s="749"/>
      <c r="K68" s="749" t="str">
        <f t="shared" si="2"/>
        <v/>
      </c>
      <c r="L68" s="749"/>
      <c r="M68" s="748"/>
      <c r="N68" s="749"/>
      <c r="O68" s="749" t="str">
        <f t="shared" si="3"/>
        <v/>
      </c>
      <c r="P68" s="749"/>
      <c r="Q68" s="748"/>
      <c r="R68" s="749"/>
      <c r="S68" s="749" t="str">
        <f t="shared" si="4"/>
        <v/>
      </c>
      <c r="T68" s="749"/>
      <c r="U68" s="748"/>
      <c r="V68" s="749"/>
      <c r="W68" s="749" t="str">
        <f t="shared" si="5"/>
        <v/>
      </c>
      <c r="X68" s="749"/>
      <c r="Y68" s="748"/>
      <c r="Z68" s="749"/>
      <c r="AA68" s="749" t="str">
        <f t="shared" si="6"/>
        <v/>
      </c>
      <c r="AB68" s="749"/>
      <c r="AC68" s="748"/>
      <c r="AD68" s="749"/>
      <c r="AE68" s="749" t="str">
        <f t="shared" si="7"/>
        <v/>
      </c>
      <c r="AF68" s="749"/>
      <c r="AG68" s="748"/>
      <c r="AH68" s="749"/>
      <c r="AI68" s="749" t="str">
        <f t="shared" si="8"/>
        <v/>
      </c>
      <c r="AJ68" s="749"/>
      <c r="AK68" s="748"/>
      <c r="AL68" s="749"/>
      <c r="AM68" s="749" t="str">
        <f t="shared" si="9"/>
        <v/>
      </c>
      <c r="AN68" s="749"/>
      <c r="AO68" s="748"/>
      <c r="AP68" s="749"/>
      <c r="AQ68" s="749" t="str">
        <f t="shared" si="10"/>
        <v/>
      </c>
      <c r="AR68" s="750"/>
      <c r="AS68" s="751"/>
    </row>
    <row r="69" spans="1:45" x14ac:dyDescent="0.25">
      <c r="A69" s="748">
        <v>33</v>
      </c>
      <c r="B69" s="749" t="s">
        <v>372</v>
      </c>
      <c r="C69" s="749" t="str">
        <f t="shared" si="0"/>
        <v>/</v>
      </c>
      <c r="D69" s="749" t="s">
        <v>373</v>
      </c>
      <c r="E69" s="748"/>
      <c r="F69" s="749"/>
      <c r="G69" s="749" t="str">
        <f t="shared" si="1"/>
        <v/>
      </c>
      <c r="H69" s="749"/>
      <c r="I69" s="748"/>
      <c r="J69" s="749"/>
      <c r="K69" s="749" t="str">
        <f t="shared" si="2"/>
        <v/>
      </c>
      <c r="L69" s="749"/>
      <c r="M69" s="748"/>
      <c r="N69" s="749"/>
      <c r="O69" s="749" t="str">
        <f t="shared" si="3"/>
        <v/>
      </c>
      <c r="P69" s="749"/>
      <c r="Q69" s="748"/>
      <c r="R69" s="749"/>
      <c r="S69" s="749" t="str">
        <f t="shared" si="4"/>
        <v/>
      </c>
      <c r="T69" s="749"/>
      <c r="U69" s="748"/>
      <c r="V69" s="749"/>
      <c r="W69" s="749" t="str">
        <f t="shared" si="5"/>
        <v/>
      </c>
      <c r="X69" s="749"/>
      <c r="Y69" s="748"/>
      <c r="Z69" s="749"/>
      <c r="AA69" s="749" t="str">
        <f t="shared" si="6"/>
        <v/>
      </c>
      <c r="AB69" s="749"/>
      <c r="AC69" s="748"/>
      <c r="AD69" s="749"/>
      <c r="AE69" s="749" t="str">
        <f t="shared" si="7"/>
        <v/>
      </c>
      <c r="AF69" s="749"/>
      <c r="AG69" s="748"/>
      <c r="AH69" s="749"/>
      <c r="AI69" s="749" t="str">
        <f t="shared" si="8"/>
        <v/>
      </c>
      <c r="AJ69" s="749"/>
      <c r="AK69" s="748"/>
      <c r="AL69" s="749"/>
      <c r="AM69" s="749" t="str">
        <f t="shared" si="9"/>
        <v/>
      </c>
      <c r="AN69" s="749"/>
      <c r="AO69" s="748"/>
      <c r="AP69" s="749"/>
      <c r="AQ69" s="749" t="str">
        <f t="shared" si="10"/>
        <v/>
      </c>
      <c r="AR69" s="750"/>
      <c r="AS69" s="751"/>
    </row>
    <row r="70" spans="1:45" x14ac:dyDescent="0.25">
      <c r="A70" s="748"/>
      <c r="B70" s="749"/>
      <c r="C70" s="749" t="str">
        <f t="shared" ref="C70:C133" si="11">IF(B70&lt;&gt;"","/","")</f>
        <v/>
      </c>
      <c r="D70" s="749"/>
      <c r="E70" s="748">
        <v>17</v>
      </c>
      <c r="F70" s="749" t="s">
        <v>374</v>
      </c>
      <c r="G70" s="749" t="str">
        <f t="shared" ref="G70:G133" si="12">IF(F70&lt;&gt;"","/","")</f>
        <v>/</v>
      </c>
      <c r="H70" s="749" t="s">
        <v>375</v>
      </c>
      <c r="I70" s="748"/>
      <c r="J70" s="749"/>
      <c r="K70" s="749" t="str">
        <f t="shared" ref="K70:K133" si="13">IF(J70&lt;&gt;"","/","")</f>
        <v/>
      </c>
      <c r="L70" s="749"/>
      <c r="M70" s="748"/>
      <c r="N70" s="749"/>
      <c r="O70" s="749" t="str">
        <f t="shared" ref="O70:O133" si="14">IF(N70&lt;&gt;"","/","")</f>
        <v/>
      </c>
      <c r="P70" s="749"/>
      <c r="Q70" s="748"/>
      <c r="R70" s="749"/>
      <c r="S70" s="749" t="str">
        <f t="shared" ref="S70:S133" si="15">IF(R70&lt;&gt;"","/","")</f>
        <v/>
      </c>
      <c r="T70" s="749"/>
      <c r="U70" s="748"/>
      <c r="V70" s="749"/>
      <c r="W70" s="749" t="str">
        <f t="shared" ref="W70:W133" si="16">IF(V70&lt;&gt;"","/","")</f>
        <v/>
      </c>
      <c r="X70" s="749"/>
      <c r="Y70" s="748"/>
      <c r="Z70" s="749"/>
      <c r="AA70" s="749" t="str">
        <f t="shared" ref="AA70:AA133" si="17">IF(Z70&lt;&gt;"","/","")</f>
        <v/>
      </c>
      <c r="AB70" s="749"/>
      <c r="AC70" s="748"/>
      <c r="AD70" s="749"/>
      <c r="AE70" s="749" t="str">
        <f t="shared" ref="AE70:AE133" si="18">IF(AD70&lt;&gt;"","/","")</f>
        <v/>
      </c>
      <c r="AF70" s="749"/>
      <c r="AG70" s="748"/>
      <c r="AH70" s="749"/>
      <c r="AI70" s="749" t="str">
        <f t="shared" ref="AI70:AI133" si="19">IF(AH70&lt;&gt;"","/","")</f>
        <v/>
      </c>
      <c r="AJ70" s="749"/>
      <c r="AK70" s="748"/>
      <c r="AL70" s="749"/>
      <c r="AM70" s="749" t="str">
        <f t="shared" ref="AM70:AM133" si="20">IF(AL70&lt;&gt;"","/","")</f>
        <v/>
      </c>
      <c r="AN70" s="749"/>
      <c r="AO70" s="748"/>
      <c r="AP70" s="749"/>
      <c r="AQ70" s="749" t="str">
        <f t="shared" ref="AQ70:AQ133" si="21">IF(AP70&lt;&gt;"","/","")</f>
        <v/>
      </c>
      <c r="AR70" s="750"/>
      <c r="AS70" s="751"/>
    </row>
    <row r="71" spans="1:45" x14ac:dyDescent="0.25">
      <c r="A71" s="748">
        <v>34</v>
      </c>
      <c r="B71" s="749" t="s">
        <v>376</v>
      </c>
      <c r="C71" s="749" t="str">
        <f t="shared" si="11"/>
        <v>/</v>
      </c>
      <c r="D71" s="749" t="s">
        <v>377</v>
      </c>
      <c r="E71" s="748"/>
      <c r="F71" s="749"/>
      <c r="G71" s="749" t="str">
        <f t="shared" si="12"/>
        <v/>
      </c>
      <c r="H71" s="749"/>
      <c r="I71" s="748"/>
      <c r="J71" s="749"/>
      <c r="K71" s="749" t="str">
        <f t="shared" si="13"/>
        <v/>
      </c>
      <c r="L71" s="749"/>
      <c r="M71" s="748"/>
      <c r="N71" s="749"/>
      <c r="O71" s="749" t="str">
        <f t="shared" si="14"/>
        <v/>
      </c>
      <c r="P71" s="749"/>
      <c r="Q71" s="748"/>
      <c r="R71" s="749"/>
      <c r="S71" s="749" t="str">
        <f t="shared" si="15"/>
        <v/>
      </c>
      <c r="T71" s="749"/>
      <c r="U71" s="748"/>
      <c r="V71" s="749"/>
      <c r="W71" s="749" t="str">
        <f t="shared" si="16"/>
        <v/>
      </c>
      <c r="X71" s="749"/>
      <c r="Y71" s="748"/>
      <c r="Z71" s="749"/>
      <c r="AA71" s="749" t="str">
        <f t="shared" si="17"/>
        <v/>
      </c>
      <c r="AB71" s="749"/>
      <c r="AC71" s="748"/>
      <c r="AD71" s="749"/>
      <c r="AE71" s="749" t="str">
        <f t="shared" si="18"/>
        <v/>
      </c>
      <c r="AF71" s="749"/>
      <c r="AG71" s="748"/>
      <c r="AH71" s="749"/>
      <c r="AI71" s="749" t="str">
        <f t="shared" si="19"/>
        <v/>
      </c>
      <c r="AJ71" s="749"/>
      <c r="AK71" s="748"/>
      <c r="AL71" s="749"/>
      <c r="AM71" s="749" t="str">
        <f t="shared" si="20"/>
        <v/>
      </c>
      <c r="AN71" s="749"/>
      <c r="AO71" s="748"/>
      <c r="AP71" s="749"/>
      <c r="AQ71" s="749" t="str">
        <f t="shared" si="21"/>
        <v/>
      </c>
      <c r="AR71" s="750"/>
      <c r="AS71" s="751"/>
    </row>
    <row r="72" spans="1:45" x14ac:dyDescent="0.25">
      <c r="A72" s="748"/>
      <c r="B72" s="749"/>
      <c r="C72" s="749" t="str">
        <f t="shared" si="11"/>
        <v/>
      </c>
      <c r="D72" s="749"/>
      <c r="E72" s="748"/>
      <c r="F72" s="749"/>
      <c r="G72" s="749" t="str">
        <f t="shared" si="12"/>
        <v/>
      </c>
      <c r="H72" s="749"/>
      <c r="I72" s="748">
        <v>9</v>
      </c>
      <c r="J72" s="749" t="s">
        <v>378</v>
      </c>
      <c r="K72" s="749" t="str">
        <f t="shared" si="13"/>
        <v>/</v>
      </c>
      <c r="L72" s="749" t="s">
        <v>379</v>
      </c>
      <c r="M72" s="748"/>
      <c r="N72" s="749"/>
      <c r="O72" s="749" t="str">
        <f t="shared" si="14"/>
        <v/>
      </c>
      <c r="P72" s="749"/>
      <c r="Q72" s="748"/>
      <c r="R72" s="749"/>
      <c r="S72" s="749" t="str">
        <f t="shared" si="15"/>
        <v/>
      </c>
      <c r="T72" s="749"/>
      <c r="U72" s="748"/>
      <c r="V72" s="749"/>
      <c r="W72" s="749" t="str">
        <f t="shared" si="16"/>
        <v/>
      </c>
      <c r="X72" s="749"/>
      <c r="Y72" s="748"/>
      <c r="Z72" s="749"/>
      <c r="AA72" s="749" t="str">
        <f t="shared" si="17"/>
        <v/>
      </c>
      <c r="AB72" s="749"/>
      <c r="AC72" s="748"/>
      <c r="AD72" s="749"/>
      <c r="AE72" s="749" t="str">
        <f t="shared" si="18"/>
        <v/>
      </c>
      <c r="AF72" s="749"/>
      <c r="AG72" s="748"/>
      <c r="AH72" s="749"/>
      <c r="AI72" s="749" t="str">
        <f t="shared" si="19"/>
        <v/>
      </c>
      <c r="AJ72" s="749"/>
      <c r="AK72" s="748"/>
      <c r="AL72" s="749"/>
      <c r="AM72" s="749" t="str">
        <f t="shared" si="20"/>
        <v/>
      </c>
      <c r="AN72" s="749"/>
      <c r="AO72" s="748"/>
      <c r="AP72" s="749"/>
      <c r="AQ72" s="749" t="str">
        <f t="shared" si="21"/>
        <v/>
      </c>
      <c r="AR72" s="750"/>
      <c r="AS72" s="751"/>
    </row>
    <row r="73" spans="1:45" x14ac:dyDescent="0.25">
      <c r="A73" s="748">
        <v>35</v>
      </c>
      <c r="B73" s="749" t="s">
        <v>380</v>
      </c>
      <c r="C73" s="749" t="str">
        <f t="shared" si="11"/>
        <v>/</v>
      </c>
      <c r="D73" s="749" t="s">
        <v>381</v>
      </c>
      <c r="E73" s="748"/>
      <c r="F73" s="749"/>
      <c r="G73" s="749" t="str">
        <f t="shared" si="12"/>
        <v/>
      </c>
      <c r="H73" s="749"/>
      <c r="I73" s="748"/>
      <c r="J73" s="749"/>
      <c r="K73" s="749" t="str">
        <f t="shared" si="13"/>
        <v/>
      </c>
      <c r="L73" s="749"/>
      <c r="M73" s="748"/>
      <c r="N73" s="749"/>
      <c r="O73" s="749" t="str">
        <f t="shared" si="14"/>
        <v/>
      </c>
      <c r="P73" s="749"/>
      <c r="Q73" s="748"/>
      <c r="R73" s="749"/>
      <c r="S73" s="749" t="str">
        <f t="shared" si="15"/>
        <v/>
      </c>
      <c r="T73" s="749"/>
      <c r="U73" s="748"/>
      <c r="V73" s="749"/>
      <c r="W73" s="749" t="str">
        <f t="shared" si="16"/>
        <v/>
      </c>
      <c r="X73" s="749"/>
      <c r="Y73" s="748"/>
      <c r="Z73" s="749"/>
      <c r="AA73" s="749" t="str">
        <f t="shared" si="17"/>
        <v/>
      </c>
      <c r="AB73" s="749"/>
      <c r="AC73" s="748"/>
      <c r="AD73" s="749"/>
      <c r="AE73" s="749" t="str">
        <f t="shared" si="18"/>
        <v/>
      </c>
      <c r="AF73" s="749"/>
      <c r="AG73" s="748"/>
      <c r="AH73" s="749"/>
      <c r="AI73" s="749" t="str">
        <f t="shared" si="19"/>
        <v/>
      </c>
      <c r="AJ73" s="749"/>
      <c r="AK73" s="748"/>
      <c r="AL73" s="749"/>
      <c r="AM73" s="749" t="str">
        <f t="shared" si="20"/>
        <v/>
      </c>
      <c r="AN73" s="749"/>
      <c r="AO73" s="748"/>
      <c r="AP73" s="749"/>
      <c r="AQ73" s="749" t="str">
        <f t="shared" si="21"/>
        <v/>
      </c>
      <c r="AR73" s="750"/>
      <c r="AS73" s="751"/>
    </row>
    <row r="74" spans="1:45" x14ac:dyDescent="0.25">
      <c r="A74" s="748"/>
      <c r="B74" s="749"/>
      <c r="C74" s="749" t="str">
        <f t="shared" si="11"/>
        <v/>
      </c>
      <c r="D74" s="749"/>
      <c r="E74" s="748">
        <v>18</v>
      </c>
      <c r="F74" s="749" t="s">
        <v>382</v>
      </c>
      <c r="G74" s="749" t="str">
        <f t="shared" si="12"/>
        <v>/</v>
      </c>
      <c r="H74" s="749" t="s">
        <v>383</v>
      </c>
      <c r="I74" s="748"/>
      <c r="J74" s="749"/>
      <c r="K74" s="749" t="str">
        <f t="shared" si="13"/>
        <v/>
      </c>
      <c r="L74" s="749"/>
      <c r="M74" s="748"/>
      <c r="N74" s="749"/>
      <c r="O74" s="749" t="str">
        <f t="shared" si="14"/>
        <v/>
      </c>
      <c r="P74" s="749"/>
      <c r="Q74" s="748"/>
      <c r="R74" s="749"/>
      <c r="S74" s="749" t="str">
        <f t="shared" si="15"/>
        <v/>
      </c>
      <c r="T74" s="749"/>
      <c r="U74" s="748"/>
      <c r="V74" s="749"/>
      <c r="W74" s="749" t="str">
        <f t="shared" si="16"/>
        <v/>
      </c>
      <c r="X74" s="749"/>
      <c r="Y74" s="748"/>
      <c r="Z74" s="749"/>
      <c r="AA74" s="749" t="str">
        <f t="shared" si="17"/>
        <v/>
      </c>
      <c r="AB74" s="749"/>
      <c r="AC74" s="748"/>
      <c r="AD74" s="749"/>
      <c r="AE74" s="749" t="str">
        <f t="shared" si="18"/>
        <v/>
      </c>
      <c r="AF74" s="749"/>
      <c r="AG74" s="748"/>
      <c r="AH74" s="749"/>
      <c r="AI74" s="749" t="str">
        <f t="shared" si="19"/>
        <v/>
      </c>
      <c r="AJ74" s="749"/>
      <c r="AK74" s="748"/>
      <c r="AL74" s="749"/>
      <c r="AM74" s="749" t="str">
        <f t="shared" si="20"/>
        <v/>
      </c>
      <c r="AN74" s="749"/>
      <c r="AO74" s="748"/>
      <c r="AP74" s="749"/>
      <c r="AQ74" s="749" t="str">
        <f t="shared" si="21"/>
        <v/>
      </c>
      <c r="AR74" s="750"/>
      <c r="AS74" s="751"/>
    </row>
    <row r="75" spans="1:45" x14ac:dyDescent="0.25">
      <c r="A75" s="748">
        <v>36</v>
      </c>
      <c r="B75" s="749" t="s">
        <v>384</v>
      </c>
      <c r="C75" s="749" t="str">
        <f t="shared" si="11"/>
        <v>/</v>
      </c>
      <c r="D75" s="749" t="s">
        <v>385</v>
      </c>
      <c r="E75" s="748"/>
      <c r="F75" s="749"/>
      <c r="G75" s="749" t="str">
        <f t="shared" si="12"/>
        <v/>
      </c>
      <c r="H75" s="749"/>
      <c r="I75" s="748"/>
      <c r="J75" s="749"/>
      <c r="K75" s="749" t="str">
        <f t="shared" si="13"/>
        <v/>
      </c>
      <c r="L75" s="749"/>
      <c r="M75" s="748"/>
      <c r="N75" s="749"/>
      <c r="O75" s="749" t="str">
        <f t="shared" si="14"/>
        <v/>
      </c>
      <c r="P75" s="749"/>
      <c r="Q75" s="748"/>
      <c r="R75" s="749"/>
      <c r="S75" s="749" t="str">
        <f t="shared" si="15"/>
        <v/>
      </c>
      <c r="T75" s="749"/>
      <c r="U75" s="748"/>
      <c r="V75" s="749"/>
      <c r="W75" s="749" t="str">
        <f t="shared" si="16"/>
        <v/>
      </c>
      <c r="X75" s="749"/>
      <c r="Y75" s="748"/>
      <c r="Z75" s="749"/>
      <c r="AA75" s="749" t="str">
        <f t="shared" si="17"/>
        <v/>
      </c>
      <c r="AB75" s="749"/>
      <c r="AC75" s="748"/>
      <c r="AD75" s="749"/>
      <c r="AE75" s="749" t="str">
        <f t="shared" si="18"/>
        <v/>
      </c>
      <c r="AF75" s="749"/>
      <c r="AG75" s="748"/>
      <c r="AH75" s="749"/>
      <c r="AI75" s="749" t="str">
        <f t="shared" si="19"/>
        <v/>
      </c>
      <c r="AJ75" s="749"/>
      <c r="AK75" s="748"/>
      <c r="AL75" s="749"/>
      <c r="AM75" s="749" t="str">
        <f t="shared" si="20"/>
        <v/>
      </c>
      <c r="AN75" s="749"/>
      <c r="AO75" s="748"/>
      <c r="AP75" s="749"/>
      <c r="AQ75" s="749" t="str">
        <f t="shared" si="21"/>
        <v/>
      </c>
      <c r="AR75" s="750"/>
      <c r="AS75" s="751"/>
    </row>
    <row r="76" spans="1:45" x14ac:dyDescent="0.25">
      <c r="A76" s="748"/>
      <c r="B76" s="749"/>
      <c r="C76" s="749" t="str">
        <f t="shared" si="11"/>
        <v/>
      </c>
      <c r="D76" s="749"/>
      <c r="E76" s="748"/>
      <c r="F76" s="749"/>
      <c r="G76" s="749" t="str">
        <f t="shared" si="12"/>
        <v/>
      </c>
      <c r="H76" s="749"/>
      <c r="I76" s="748"/>
      <c r="J76" s="749"/>
      <c r="K76" s="749" t="str">
        <f t="shared" si="13"/>
        <v/>
      </c>
      <c r="L76" s="749"/>
      <c r="M76" s="757">
        <v>5</v>
      </c>
      <c r="N76" s="758" t="s">
        <v>386</v>
      </c>
      <c r="O76" s="758" t="str">
        <f t="shared" si="14"/>
        <v>/</v>
      </c>
      <c r="P76" s="758" t="s">
        <v>387</v>
      </c>
      <c r="Q76" s="748"/>
      <c r="R76" s="749"/>
      <c r="S76" s="749" t="str">
        <f t="shared" si="15"/>
        <v/>
      </c>
      <c r="T76" s="749"/>
      <c r="U76" s="748"/>
      <c r="V76" s="749"/>
      <c r="W76" s="749" t="str">
        <f t="shared" si="16"/>
        <v/>
      </c>
      <c r="X76" s="749"/>
      <c r="Y76" s="748"/>
      <c r="Z76" s="749"/>
      <c r="AA76" s="749" t="str">
        <f t="shared" si="17"/>
        <v/>
      </c>
      <c r="AB76" s="749"/>
      <c r="AC76" s="748"/>
      <c r="AD76" s="749"/>
      <c r="AE76" s="749" t="str">
        <f t="shared" si="18"/>
        <v/>
      </c>
      <c r="AF76" s="749"/>
      <c r="AG76" s="748"/>
      <c r="AH76" s="749"/>
      <c r="AI76" s="749" t="str">
        <f t="shared" si="19"/>
        <v/>
      </c>
      <c r="AJ76" s="749"/>
      <c r="AK76" s="748"/>
      <c r="AL76" s="749"/>
      <c r="AM76" s="749" t="str">
        <f t="shared" si="20"/>
        <v/>
      </c>
      <c r="AN76" s="749"/>
      <c r="AO76" s="748"/>
      <c r="AP76" s="749"/>
      <c r="AQ76" s="749" t="str">
        <f t="shared" si="21"/>
        <v/>
      </c>
      <c r="AR76" s="750"/>
      <c r="AS76" s="751"/>
    </row>
    <row r="77" spans="1:45" x14ac:dyDescent="0.25">
      <c r="A77" s="748">
        <v>37</v>
      </c>
      <c r="B77" s="749" t="s">
        <v>388</v>
      </c>
      <c r="C77" s="749" t="str">
        <f t="shared" si="11"/>
        <v>/</v>
      </c>
      <c r="D77" s="749" t="s">
        <v>389</v>
      </c>
      <c r="E77" s="748"/>
      <c r="F77" s="749"/>
      <c r="G77" s="749" t="str">
        <f t="shared" si="12"/>
        <v/>
      </c>
      <c r="H77" s="749"/>
      <c r="I77" s="748"/>
      <c r="J77" s="749"/>
      <c r="K77" s="749" t="str">
        <f t="shared" si="13"/>
        <v/>
      </c>
      <c r="L77" s="749"/>
      <c r="M77" s="748"/>
      <c r="N77" s="749"/>
      <c r="O77" s="749" t="str">
        <f t="shared" si="14"/>
        <v/>
      </c>
      <c r="P77" s="749"/>
      <c r="Q77" s="748"/>
      <c r="R77" s="749"/>
      <c r="S77" s="749" t="str">
        <f t="shared" si="15"/>
        <v/>
      </c>
      <c r="T77" s="749"/>
      <c r="U77" s="748"/>
      <c r="V77" s="749"/>
      <c r="W77" s="749" t="str">
        <f t="shared" si="16"/>
        <v/>
      </c>
      <c r="X77" s="749"/>
      <c r="Y77" s="748"/>
      <c r="Z77" s="749"/>
      <c r="AA77" s="749" t="str">
        <f t="shared" si="17"/>
        <v/>
      </c>
      <c r="AB77" s="749"/>
      <c r="AC77" s="748"/>
      <c r="AD77" s="749"/>
      <c r="AE77" s="749" t="str">
        <f t="shared" si="18"/>
        <v/>
      </c>
      <c r="AF77" s="749"/>
      <c r="AG77" s="748"/>
      <c r="AH77" s="749"/>
      <c r="AI77" s="749" t="str">
        <f t="shared" si="19"/>
        <v/>
      </c>
      <c r="AJ77" s="749"/>
      <c r="AK77" s="748"/>
      <c r="AL77" s="749"/>
      <c r="AM77" s="749" t="str">
        <f t="shared" si="20"/>
        <v/>
      </c>
      <c r="AN77" s="749"/>
      <c r="AO77" s="748"/>
      <c r="AP77" s="749"/>
      <c r="AQ77" s="749" t="str">
        <f t="shared" si="21"/>
        <v/>
      </c>
      <c r="AR77" s="750"/>
      <c r="AS77" s="751"/>
    </row>
    <row r="78" spans="1:45" x14ac:dyDescent="0.25">
      <c r="A78" s="748"/>
      <c r="B78" s="749"/>
      <c r="C78" s="749" t="str">
        <f t="shared" si="11"/>
        <v/>
      </c>
      <c r="D78" s="749"/>
      <c r="E78" s="748">
        <v>19</v>
      </c>
      <c r="F78" s="749" t="s">
        <v>390</v>
      </c>
      <c r="G78" s="749" t="str">
        <f t="shared" si="12"/>
        <v>/</v>
      </c>
      <c r="H78" s="749" t="s">
        <v>391</v>
      </c>
      <c r="I78" s="748"/>
      <c r="J78" s="749"/>
      <c r="K78" s="749" t="str">
        <f t="shared" si="13"/>
        <v/>
      </c>
      <c r="L78" s="749"/>
      <c r="M78" s="748"/>
      <c r="N78" s="749"/>
      <c r="O78" s="749" t="str">
        <f t="shared" si="14"/>
        <v/>
      </c>
      <c r="P78" s="749"/>
      <c r="Q78" s="748"/>
      <c r="R78" s="749"/>
      <c r="S78" s="749" t="str">
        <f t="shared" si="15"/>
        <v/>
      </c>
      <c r="T78" s="749"/>
      <c r="U78" s="748"/>
      <c r="V78" s="749"/>
      <c r="W78" s="749" t="str">
        <f t="shared" si="16"/>
        <v/>
      </c>
      <c r="X78" s="749"/>
      <c r="Y78" s="748"/>
      <c r="Z78" s="749"/>
      <c r="AA78" s="749" t="str">
        <f t="shared" si="17"/>
        <v/>
      </c>
      <c r="AB78" s="749"/>
      <c r="AC78" s="748"/>
      <c r="AD78" s="749"/>
      <c r="AE78" s="749" t="str">
        <f t="shared" si="18"/>
        <v/>
      </c>
      <c r="AF78" s="749"/>
      <c r="AG78" s="748"/>
      <c r="AH78" s="749"/>
      <c r="AI78" s="749" t="str">
        <f t="shared" si="19"/>
        <v/>
      </c>
      <c r="AJ78" s="749"/>
      <c r="AK78" s="748"/>
      <c r="AL78" s="749"/>
      <c r="AM78" s="749" t="str">
        <f t="shared" si="20"/>
        <v/>
      </c>
      <c r="AN78" s="749"/>
      <c r="AO78" s="748"/>
      <c r="AP78" s="749"/>
      <c r="AQ78" s="749" t="str">
        <f t="shared" si="21"/>
        <v/>
      </c>
      <c r="AR78" s="750"/>
      <c r="AS78" s="751"/>
    </row>
    <row r="79" spans="1:45" x14ac:dyDescent="0.25">
      <c r="A79" s="748">
        <v>38</v>
      </c>
      <c r="B79" s="749" t="s">
        <v>392</v>
      </c>
      <c r="C79" s="749" t="str">
        <f t="shared" si="11"/>
        <v>/</v>
      </c>
      <c r="D79" s="749" t="s">
        <v>393</v>
      </c>
      <c r="E79" s="748"/>
      <c r="F79" s="749"/>
      <c r="G79" s="749" t="str">
        <f t="shared" si="12"/>
        <v/>
      </c>
      <c r="H79" s="749"/>
      <c r="I79" s="748"/>
      <c r="J79" s="749"/>
      <c r="K79" s="749" t="str">
        <f t="shared" si="13"/>
        <v/>
      </c>
      <c r="L79" s="749"/>
      <c r="M79" s="748"/>
      <c r="N79" s="749"/>
      <c r="O79" s="749" t="str">
        <f t="shared" si="14"/>
        <v/>
      </c>
      <c r="P79" s="749"/>
      <c r="Q79" s="748"/>
      <c r="R79" s="749"/>
      <c r="S79" s="749" t="str">
        <f t="shared" si="15"/>
        <v/>
      </c>
      <c r="T79" s="749"/>
      <c r="U79" s="748"/>
      <c r="V79" s="749"/>
      <c r="W79" s="749" t="str">
        <f t="shared" si="16"/>
        <v/>
      </c>
      <c r="X79" s="749"/>
      <c r="Y79" s="748"/>
      <c r="Z79" s="749"/>
      <c r="AA79" s="749" t="str">
        <f t="shared" si="17"/>
        <v/>
      </c>
      <c r="AB79" s="749"/>
      <c r="AC79" s="748"/>
      <c r="AD79" s="749"/>
      <c r="AE79" s="749" t="str">
        <f t="shared" si="18"/>
        <v/>
      </c>
      <c r="AF79" s="749"/>
      <c r="AG79" s="748"/>
      <c r="AH79" s="749"/>
      <c r="AI79" s="749" t="str">
        <f t="shared" si="19"/>
        <v/>
      </c>
      <c r="AJ79" s="749"/>
      <c r="AK79" s="748"/>
      <c r="AL79" s="749"/>
      <c r="AM79" s="749" t="str">
        <f t="shared" si="20"/>
        <v/>
      </c>
      <c r="AN79" s="749"/>
      <c r="AO79" s="748"/>
      <c r="AP79" s="749"/>
      <c r="AQ79" s="749" t="str">
        <f t="shared" si="21"/>
        <v/>
      </c>
      <c r="AR79" s="750"/>
      <c r="AS79" s="751"/>
    </row>
    <row r="80" spans="1:45" x14ac:dyDescent="0.25">
      <c r="A80" s="748"/>
      <c r="B80" s="749"/>
      <c r="C80" s="749" t="str">
        <f t="shared" si="11"/>
        <v/>
      </c>
      <c r="D80" s="749"/>
      <c r="E80" s="748"/>
      <c r="F80" s="749"/>
      <c r="G80" s="749" t="str">
        <f t="shared" si="12"/>
        <v/>
      </c>
      <c r="H80" s="749"/>
      <c r="I80" s="757">
        <v>10</v>
      </c>
      <c r="J80" s="758" t="s">
        <v>394</v>
      </c>
      <c r="K80" s="758" t="str">
        <f t="shared" si="13"/>
        <v>/</v>
      </c>
      <c r="L80" s="758" t="s">
        <v>395</v>
      </c>
      <c r="M80" s="748"/>
      <c r="N80" s="749"/>
      <c r="O80" s="749" t="str">
        <f t="shared" si="14"/>
        <v/>
      </c>
      <c r="P80" s="749"/>
      <c r="Q80" s="748"/>
      <c r="R80" s="749"/>
      <c r="S80" s="749" t="str">
        <f t="shared" si="15"/>
        <v/>
      </c>
      <c r="T80" s="749"/>
      <c r="U80" s="748"/>
      <c r="V80" s="749"/>
      <c r="W80" s="749" t="str">
        <f t="shared" si="16"/>
        <v/>
      </c>
      <c r="X80" s="749"/>
      <c r="Y80" s="748"/>
      <c r="Z80" s="749"/>
      <c r="AA80" s="749" t="str">
        <f t="shared" si="17"/>
        <v/>
      </c>
      <c r="AB80" s="749"/>
      <c r="AC80" s="748"/>
      <c r="AD80" s="749"/>
      <c r="AE80" s="749" t="str">
        <f t="shared" si="18"/>
        <v/>
      </c>
      <c r="AF80" s="749"/>
      <c r="AG80" s="748"/>
      <c r="AH80" s="749"/>
      <c r="AI80" s="749" t="str">
        <f t="shared" si="19"/>
        <v/>
      </c>
      <c r="AJ80" s="749"/>
      <c r="AK80" s="748"/>
      <c r="AL80" s="749"/>
      <c r="AM80" s="749" t="str">
        <f t="shared" si="20"/>
        <v/>
      </c>
      <c r="AN80" s="749"/>
      <c r="AO80" s="748"/>
      <c r="AP80" s="749"/>
      <c r="AQ80" s="749" t="str">
        <f t="shared" si="21"/>
        <v/>
      </c>
      <c r="AR80" s="750"/>
      <c r="AS80" s="759" t="s">
        <v>396</v>
      </c>
    </row>
    <row r="81" spans="1:45" x14ac:dyDescent="0.25">
      <c r="A81" s="748">
        <v>39</v>
      </c>
      <c r="B81" s="749" t="s">
        <v>397</v>
      </c>
      <c r="C81" s="749" t="str">
        <f t="shared" si="11"/>
        <v>/</v>
      </c>
      <c r="D81" s="749" t="s">
        <v>398</v>
      </c>
      <c r="E81" s="748"/>
      <c r="F81" s="749"/>
      <c r="G81" s="749" t="str">
        <f t="shared" si="12"/>
        <v/>
      </c>
      <c r="H81" s="749"/>
      <c r="I81" s="748"/>
      <c r="J81" s="749"/>
      <c r="K81" s="749" t="str">
        <f t="shared" si="13"/>
        <v/>
      </c>
      <c r="L81" s="749"/>
      <c r="M81" s="748"/>
      <c r="N81" s="749"/>
      <c r="O81" s="749" t="str">
        <f t="shared" si="14"/>
        <v/>
      </c>
      <c r="P81" s="749"/>
      <c r="Q81" s="748"/>
      <c r="R81" s="749"/>
      <c r="S81" s="749" t="str">
        <f t="shared" si="15"/>
        <v/>
      </c>
      <c r="T81" s="749"/>
      <c r="U81" s="748"/>
      <c r="V81" s="749"/>
      <c r="W81" s="749" t="str">
        <f t="shared" si="16"/>
        <v/>
      </c>
      <c r="X81" s="749"/>
      <c r="Y81" s="748"/>
      <c r="Z81" s="749"/>
      <c r="AA81" s="749" t="str">
        <f t="shared" si="17"/>
        <v/>
      </c>
      <c r="AB81" s="749"/>
      <c r="AC81" s="748"/>
      <c r="AD81" s="749"/>
      <c r="AE81" s="749" t="str">
        <f t="shared" si="18"/>
        <v/>
      </c>
      <c r="AF81" s="749"/>
      <c r="AG81" s="748"/>
      <c r="AH81" s="749"/>
      <c r="AI81" s="749" t="str">
        <f t="shared" si="19"/>
        <v/>
      </c>
      <c r="AJ81" s="749"/>
      <c r="AK81" s="748"/>
      <c r="AL81" s="749"/>
      <c r="AM81" s="749" t="str">
        <f t="shared" si="20"/>
        <v/>
      </c>
      <c r="AN81" s="749"/>
      <c r="AO81" s="748"/>
      <c r="AP81" s="749"/>
      <c r="AQ81" s="749" t="str">
        <f t="shared" si="21"/>
        <v/>
      </c>
      <c r="AR81" s="750"/>
      <c r="AS81" s="751"/>
    </row>
    <row r="82" spans="1:45" x14ac:dyDescent="0.25">
      <c r="A82" s="748"/>
      <c r="B82" s="749"/>
      <c r="C82" s="749" t="str">
        <f t="shared" si="11"/>
        <v/>
      </c>
      <c r="D82" s="749"/>
      <c r="E82" s="748">
        <v>20</v>
      </c>
      <c r="F82" s="749" t="s">
        <v>399</v>
      </c>
      <c r="G82" s="749" t="str">
        <f t="shared" si="12"/>
        <v>/</v>
      </c>
      <c r="H82" s="749" t="s">
        <v>400</v>
      </c>
      <c r="I82" s="748"/>
      <c r="J82" s="749"/>
      <c r="K82" s="749" t="str">
        <f t="shared" si="13"/>
        <v/>
      </c>
      <c r="L82" s="749"/>
      <c r="M82" s="748"/>
      <c r="N82" s="749"/>
      <c r="O82" s="749" t="str">
        <f t="shared" si="14"/>
        <v/>
      </c>
      <c r="P82" s="749"/>
      <c r="Q82" s="748"/>
      <c r="R82" s="749"/>
      <c r="S82" s="749" t="str">
        <f t="shared" si="15"/>
        <v/>
      </c>
      <c r="T82" s="749"/>
      <c r="U82" s="748"/>
      <c r="V82" s="749"/>
      <c r="W82" s="749" t="str">
        <f t="shared" si="16"/>
        <v/>
      </c>
      <c r="X82" s="749"/>
      <c r="Y82" s="748"/>
      <c r="Z82" s="749"/>
      <c r="AA82" s="749" t="str">
        <f t="shared" si="17"/>
        <v/>
      </c>
      <c r="AB82" s="749"/>
      <c r="AC82" s="748"/>
      <c r="AD82" s="749"/>
      <c r="AE82" s="749" t="str">
        <f t="shared" si="18"/>
        <v/>
      </c>
      <c r="AF82" s="749"/>
      <c r="AG82" s="748"/>
      <c r="AH82" s="749"/>
      <c r="AI82" s="749" t="str">
        <f t="shared" si="19"/>
        <v/>
      </c>
      <c r="AJ82" s="749"/>
      <c r="AK82" s="748"/>
      <c r="AL82" s="749"/>
      <c r="AM82" s="749" t="str">
        <f t="shared" si="20"/>
        <v/>
      </c>
      <c r="AN82" s="749"/>
      <c r="AO82" s="748"/>
      <c r="AP82" s="749"/>
      <c r="AQ82" s="749" t="str">
        <f t="shared" si="21"/>
        <v/>
      </c>
      <c r="AR82" s="750"/>
      <c r="AS82" s="751"/>
    </row>
    <row r="83" spans="1:45" x14ac:dyDescent="0.25">
      <c r="A83" s="748">
        <v>40</v>
      </c>
      <c r="B83" s="749" t="s">
        <v>401</v>
      </c>
      <c r="C83" s="749" t="str">
        <f t="shared" si="11"/>
        <v>/</v>
      </c>
      <c r="D83" s="749" t="s">
        <v>402</v>
      </c>
      <c r="E83" s="748"/>
      <c r="F83" s="749"/>
      <c r="G83" s="749" t="str">
        <f t="shared" si="12"/>
        <v/>
      </c>
      <c r="H83" s="749"/>
      <c r="I83" s="748"/>
      <c r="J83" s="749"/>
      <c r="K83" s="749" t="str">
        <f t="shared" si="13"/>
        <v/>
      </c>
      <c r="L83" s="749"/>
      <c r="M83" s="748"/>
      <c r="N83" s="749"/>
      <c r="O83" s="749" t="str">
        <f t="shared" si="14"/>
        <v/>
      </c>
      <c r="P83" s="749"/>
      <c r="Q83" s="748"/>
      <c r="R83" s="749"/>
      <c r="S83" s="749" t="str">
        <f t="shared" si="15"/>
        <v/>
      </c>
      <c r="T83" s="749"/>
      <c r="U83" s="748"/>
      <c r="V83" s="749"/>
      <c r="W83" s="749" t="str">
        <f t="shared" si="16"/>
        <v/>
      </c>
      <c r="X83" s="749"/>
      <c r="Y83" s="748"/>
      <c r="Z83" s="749"/>
      <c r="AA83" s="749" t="str">
        <f t="shared" si="17"/>
        <v/>
      </c>
      <c r="AB83" s="749"/>
      <c r="AC83" s="748"/>
      <c r="AD83" s="749"/>
      <c r="AE83" s="749" t="str">
        <f t="shared" si="18"/>
        <v/>
      </c>
      <c r="AF83" s="749"/>
      <c r="AG83" s="748"/>
      <c r="AH83" s="749"/>
      <c r="AI83" s="749" t="str">
        <f t="shared" si="19"/>
        <v/>
      </c>
      <c r="AJ83" s="749"/>
      <c r="AK83" s="748"/>
      <c r="AL83" s="749"/>
      <c r="AM83" s="749" t="str">
        <f t="shared" si="20"/>
        <v/>
      </c>
      <c r="AN83" s="749"/>
      <c r="AO83" s="748"/>
      <c r="AP83" s="749"/>
      <c r="AQ83" s="749" t="str">
        <f t="shared" si="21"/>
        <v/>
      </c>
      <c r="AR83" s="750"/>
      <c r="AS83" s="751"/>
    </row>
    <row r="84" spans="1:45" x14ac:dyDescent="0.25">
      <c r="A84" s="748"/>
      <c r="B84" s="749"/>
      <c r="C84" s="749" t="str">
        <f t="shared" si="11"/>
        <v/>
      </c>
      <c r="D84" s="749"/>
      <c r="E84" s="748"/>
      <c r="F84" s="749"/>
      <c r="G84" s="749" t="str">
        <f t="shared" si="12"/>
        <v/>
      </c>
      <c r="H84" s="749"/>
      <c r="I84" s="748"/>
      <c r="J84" s="749"/>
      <c r="K84" s="749" t="str">
        <f t="shared" si="13"/>
        <v/>
      </c>
      <c r="L84" s="749"/>
      <c r="M84" s="748"/>
      <c r="N84" s="749"/>
      <c r="O84" s="749" t="str">
        <f t="shared" si="14"/>
        <v/>
      </c>
      <c r="P84" s="749"/>
      <c r="Q84" s="748"/>
      <c r="R84" s="749"/>
      <c r="S84" s="749" t="str">
        <f t="shared" si="15"/>
        <v/>
      </c>
      <c r="T84" s="749"/>
      <c r="U84" s="748"/>
      <c r="V84" s="749"/>
      <c r="W84" s="749" t="str">
        <f t="shared" si="16"/>
        <v/>
      </c>
      <c r="X84" s="749"/>
      <c r="Y84" s="748"/>
      <c r="Z84" s="749"/>
      <c r="AA84" s="749" t="str">
        <f t="shared" si="17"/>
        <v/>
      </c>
      <c r="AB84" s="749"/>
      <c r="AC84" s="748"/>
      <c r="AD84" s="749"/>
      <c r="AE84" s="749" t="str">
        <f t="shared" si="18"/>
        <v/>
      </c>
      <c r="AF84" s="749"/>
      <c r="AG84" s="748"/>
      <c r="AH84" s="749"/>
      <c r="AI84" s="749" t="str">
        <f t="shared" si="19"/>
        <v/>
      </c>
      <c r="AJ84" s="749"/>
      <c r="AK84" s="748"/>
      <c r="AL84" s="749"/>
      <c r="AM84" s="749" t="str">
        <f t="shared" si="20"/>
        <v/>
      </c>
      <c r="AN84" s="749"/>
      <c r="AO84" s="748"/>
      <c r="AP84" s="749"/>
      <c r="AQ84" s="749" t="str">
        <f t="shared" si="21"/>
        <v/>
      </c>
      <c r="AR84" s="750"/>
      <c r="AS84" s="751"/>
    </row>
    <row r="85" spans="1:45" x14ac:dyDescent="0.25">
      <c r="A85" s="748">
        <v>41</v>
      </c>
      <c r="B85" s="749" t="s">
        <v>403</v>
      </c>
      <c r="C85" s="749" t="str">
        <f t="shared" si="11"/>
        <v>/</v>
      </c>
      <c r="D85" s="749" t="s">
        <v>404</v>
      </c>
      <c r="E85" s="748"/>
      <c r="F85" s="749"/>
      <c r="G85" s="749" t="str">
        <f t="shared" si="12"/>
        <v/>
      </c>
      <c r="H85" s="749"/>
      <c r="I85" s="748"/>
      <c r="J85" s="749"/>
      <c r="K85" s="749" t="str">
        <f t="shared" si="13"/>
        <v/>
      </c>
      <c r="L85" s="749"/>
      <c r="M85" s="748"/>
      <c r="N85" s="749"/>
      <c r="O85" s="749" t="str">
        <f t="shared" si="14"/>
        <v/>
      </c>
      <c r="P85" s="749"/>
      <c r="Q85" s="748"/>
      <c r="R85" s="749"/>
      <c r="S85" s="749" t="str">
        <f t="shared" si="15"/>
        <v/>
      </c>
      <c r="T85" s="749"/>
      <c r="U85" s="748"/>
      <c r="V85" s="749"/>
      <c r="W85" s="749" t="str">
        <f t="shared" si="16"/>
        <v/>
      </c>
      <c r="X85" s="749"/>
      <c r="Y85" s="748"/>
      <c r="Z85" s="749"/>
      <c r="AA85" s="749" t="str">
        <f t="shared" si="17"/>
        <v/>
      </c>
      <c r="AB85" s="749"/>
      <c r="AC85" s="748"/>
      <c r="AD85" s="749"/>
      <c r="AE85" s="749" t="str">
        <f t="shared" si="18"/>
        <v/>
      </c>
      <c r="AF85" s="749"/>
      <c r="AG85" s="748"/>
      <c r="AH85" s="749"/>
      <c r="AI85" s="749" t="str">
        <f t="shared" si="19"/>
        <v/>
      </c>
      <c r="AJ85" s="749"/>
      <c r="AK85" s="748"/>
      <c r="AL85" s="749"/>
      <c r="AM85" s="749" t="str">
        <f t="shared" si="20"/>
        <v/>
      </c>
      <c r="AN85" s="749"/>
      <c r="AO85" s="748"/>
      <c r="AP85" s="749"/>
      <c r="AQ85" s="749" t="str">
        <f t="shared" si="21"/>
        <v/>
      </c>
      <c r="AR85" s="750"/>
      <c r="AS85" s="751"/>
    </row>
    <row r="86" spans="1:45" x14ac:dyDescent="0.25">
      <c r="A86" s="748"/>
      <c r="B86" s="749"/>
      <c r="C86" s="749" t="str">
        <f t="shared" si="11"/>
        <v/>
      </c>
      <c r="D86" s="749"/>
      <c r="E86" s="748">
        <v>21</v>
      </c>
      <c r="F86" s="749" t="s">
        <v>405</v>
      </c>
      <c r="G86" s="749" t="str">
        <f t="shared" si="12"/>
        <v>/</v>
      </c>
      <c r="H86" s="749" t="s">
        <v>406</v>
      </c>
      <c r="I86" s="748"/>
      <c r="J86" s="749"/>
      <c r="K86" s="749" t="str">
        <f t="shared" si="13"/>
        <v/>
      </c>
      <c r="L86" s="749"/>
      <c r="M86" s="748"/>
      <c r="N86" s="749"/>
      <c r="O86" s="749" t="str">
        <f t="shared" si="14"/>
        <v/>
      </c>
      <c r="P86" s="749"/>
      <c r="Q86" s="748"/>
      <c r="R86" s="749"/>
      <c r="S86" s="749" t="str">
        <f t="shared" si="15"/>
        <v/>
      </c>
      <c r="T86" s="749"/>
      <c r="U86" s="748"/>
      <c r="V86" s="749"/>
      <c r="W86" s="749" t="str">
        <f t="shared" si="16"/>
        <v/>
      </c>
      <c r="X86" s="749"/>
      <c r="Y86" s="748"/>
      <c r="Z86" s="749"/>
      <c r="AA86" s="749" t="str">
        <f t="shared" si="17"/>
        <v/>
      </c>
      <c r="AB86" s="749"/>
      <c r="AC86" s="748"/>
      <c r="AD86" s="749"/>
      <c r="AE86" s="749" t="str">
        <f t="shared" si="18"/>
        <v/>
      </c>
      <c r="AF86" s="749"/>
      <c r="AG86" s="748"/>
      <c r="AH86" s="749"/>
      <c r="AI86" s="749" t="str">
        <f t="shared" si="19"/>
        <v/>
      </c>
      <c r="AJ86" s="749"/>
      <c r="AK86" s="748"/>
      <c r="AL86" s="749"/>
      <c r="AM86" s="749" t="str">
        <f t="shared" si="20"/>
        <v/>
      </c>
      <c r="AN86" s="749"/>
      <c r="AO86" s="748"/>
      <c r="AP86" s="749"/>
      <c r="AQ86" s="749" t="str">
        <f t="shared" si="21"/>
        <v/>
      </c>
      <c r="AR86" s="750"/>
      <c r="AS86" s="751"/>
    </row>
    <row r="87" spans="1:45" x14ac:dyDescent="0.25">
      <c r="A87" s="748">
        <v>42</v>
      </c>
      <c r="B87" s="749" t="s">
        <v>407</v>
      </c>
      <c r="C87" s="749" t="str">
        <f t="shared" si="11"/>
        <v>/</v>
      </c>
      <c r="D87" s="749" t="s">
        <v>408</v>
      </c>
      <c r="E87" s="748"/>
      <c r="F87" s="749"/>
      <c r="G87" s="749" t="str">
        <f t="shared" si="12"/>
        <v/>
      </c>
      <c r="H87" s="749"/>
      <c r="I87" s="748"/>
      <c r="J87" s="749"/>
      <c r="K87" s="749" t="str">
        <f t="shared" si="13"/>
        <v/>
      </c>
      <c r="L87" s="749"/>
      <c r="M87" s="748"/>
      <c r="N87" s="749"/>
      <c r="O87" s="749" t="str">
        <f t="shared" si="14"/>
        <v/>
      </c>
      <c r="P87" s="749"/>
      <c r="Q87" s="748"/>
      <c r="R87" s="749"/>
      <c r="S87" s="749" t="str">
        <f t="shared" si="15"/>
        <v/>
      </c>
      <c r="T87" s="749"/>
      <c r="U87" s="748"/>
      <c r="V87" s="749"/>
      <c r="W87" s="749" t="str">
        <f t="shared" si="16"/>
        <v/>
      </c>
      <c r="X87" s="749"/>
      <c r="Y87" s="748"/>
      <c r="Z87" s="749"/>
      <c r="AA87" s="749" t="str">
        <f t="shared" si="17"/>
        <v/>
      </c>
      <c r="AB87" s="749"/>
      <c r="AC87" s="748"/>
      <c r="AD87" s="749"/>
      <c r="AE87" s="749" t="str">
        <f t="shared" si="18"/>
        <v/>
      </c>
      <c r="AF87" s="749"/>
      <c r="AG87" s="748"/>
      <c r="AH87" s="749"/>
      <c r="AI87" s="749" t="str">
        <f t="shared" si="19"/>
        <v/>
      </c>
      <c r="AJ87" s="749"/>
      <c r="AK87" s="748"/>
      <c r="AL87" s="749"/>
      <c r="AM87" s="749" t="str">
        <f t="shared" si="20"/>
        <v/>
      </c>
      <c r="AN87" s="749"/>
      <c r="AO87" s="748"/>
      <c r="AP87" s="749"/>
      <c r="AQ87" s="749" t="str">
        <f t="shared" si="21"/>
        <v/>
      </c>
      <c r="AR87" s="750"/>
      <c r="AS87" s="751"/>
    </row>
    <row r="88" spans="1:45" x14ac:dyDescent="0.25">
      <c r="A88" s="748"/>
      <c r="B88" s="749"/>
      <c r="C88" s="749" t="str">
        <f t="shared" si="11"/>
        <v/>
      </c>
      <c r="D88" s="749"/>
      <c r="E88" s="748"/>
      <c r="F88" s="749"/>
      <c r="G88" s="749" t="str">
        <f t="shared" si="12"/>
        <v/>
      </c>
      <c r="H88" s="749"/>
      <c r="I88" s="748">
        <v>11</v>
      </c>
      <c r="J88" s="749" t="s">
        <v>409</v>
      </c>
      <c r="K88" s="749" t="str">
        <f t="shared" si="13"/>
        <v>/</v>
      </c>
      <c r="L88" s="749" t="s">
        <v>410</v>
      </c>
      <c r="M88" s="748"/>
      <c r="N88" s="749"/>
      <c r="O88" s="749" t="str">
        <f t="shared" si="14"/>
        <v/>
      </c>
      <c r="P88" s="749"/>
      <c r="Q88" s="748"/>
      <c r="R88" s="749"/>
      <c r="S88" s="749" t="str">
        <f t="shared" si="15"/>
        <v/>
      </c>
      <c r="T88" s="749"/>
      <c r="U88" s="748"/>
      <c r="V88" s="749"/>
      <c r="W88" s="749" t="str">
        <f t="shared" si="16"/>
        <v/>
      </c>
      <c r="X88" s="749"/>
      <c r="Y88" s="748"/>
      <c r="Z88" s="749"/>
      <c r="AA88" s="749" t="str">
        <f t="shared" si="17"/>
        <v/>
      </c>
      <c r="AB88" s="749"/>
      <c r="AC88" s="748"/>
      <c r="AD88" s="749"/>
      <c r="AE88" s="749" t="str">
        <f t="shared" si="18"/>
        <v/>
      </c>
      <c r="AF88" s="749"/>
      <c r="AG88" s="748"/>
      <c r="AH88" s="749"/>
      <c r="AI88" s="749" t="str">
        <f t="shared" si="19"/>
        <v/>
      </c>
      <c r="AJ88" s="749"/>
      <c r="AK88" s="748"/>
      <c r="AL88" s="749"/>
      <c r="AM88" s="749" t="str">
        <f t="shared" si="20"/>
        <v/>
      </c>
      <c r="AN88" s="749"/>
      <c r="AO88" s="748"/>
      <c r="AP88" s="749"/>
      <c r="AQ88" s="749" t="str">
        <f t="shared" si="21"/>
        <v/>
      </c>
      <c r="AR88" s="750"/>
      <c r="AS88" s="751"/>
    </row>
    <row r="89" spans="1:45" x14ac:dyDescent="0.25">
      <c r="A89" s="748">
        <v>43</v>
      </c>
      <c r="B89" s="749" t="s">
        <v>411</v>
      </c>
      <c r="C89" s="749" t="str">
        <f t="shared" si="11"/>
        <v>/</v>
      </c>
      <c r="D89" s="749" t="s">
        <v>412</v>
      </c>
      <c r="E89" s="748"/>
      <c r="F89" s="749"/>
      <c r="G89" s="749" t="str">
        <f t="shared" si="12"/>
        <v/>
      </c>
      <c r="H89" s="749"/>
      <c r="I89" s="748"/>
      <c r="J89" s="749"/>
      <c r="K89" s="749" t="str">
        <f t="shared" si="13"/>
        <v/>
      </c>
      <c r="L89" s="749"/>
      <c r="M89" s="748"/>
      <c r="N89" s="749"/>
      <c r="O89" s="749" t="str">
        <f t="shared" si="14"/>
        <v/>
      </c>
      <c r="P89" s="749"/>
      <c r="Q89" s="748"/>
      <c r="R89" s="749"/>
      <c r="S89" s="749" t="str">
        <f t="shared" si="15"/>
        <v/>
      </c>
      <c r="T89" s="749"/>
      <c r="U89" s="748"/>
      <c r="V89" s="749"/>
      <c r="W89" s="749" t="str">
        <f t="shared" si="16"/>
        <v/>
      </c>
      <c r="X89" s="749"/>
      <c r="Y89" s="748"/>
      <c r="Z89" s="749"/>
      <c r="AA89" s="749" t="str">
        <f t="shared" si="17"/>
        <v/>
      </c>
      <c r="AB89" s="749"/>
      <c r="AC89" s="748"/>
      <c r="AD89" s="749"/>
      <c r="AE89" s="749" t="str">
        <f t="shared" si="18"/>
        <v/>
      </c>
      <c r="AF89" s="749"/>
      <c r="AG89" s="748"/>
      <c r="AH89" s="749"/>
      <c r="AI89" s="749" t="str">
        <f t="shared" si="19"/>
        <v/>
      </c>
      <c r="AJ89" s="749"/>
      <c r="AK89" s="748"/>
      <c r="AL89" s="749"/>
      <c r="AM89" s="749" t="str">
        <f t="shared" si="20"/>
        <v/>
      </c>
      <c r="AN89" s="749"/>
      <c r="AO89" s="748"/>
      <c r="AP89" s="749"/>
      <c r="AQ89" s="749" t="str">
        <f t="shared" si="21"/>
        <v/>
      </c>
      <c r="AR89" s="750"/>
      <c r="AS89" s="751"/>
    </row>
    <row r="90" spans="1:45" x14ac:dyDescent="0.25">
      <c r="A90" s="748"/>
      <c r="B90" s="749"/>
      <c r="C90" s="749" t="str">
        <f t="shared" si="11"/>
        <v/>
      </c>
      <c r="D90" s="749"/>
      <c r="E90" s="748">
        <v>22</v>
      </c>
      <c r="F90" s="749" t="s">
        <v>413</v>
      </c>
      <c r="G90" s="749" t="str">
        <f t="shared" si="12"/>
        <v>/</v>
      </c>
      <c r="H90" s="749" t="s">
        <v>414</v>
      </c>
      <c r="I90" s="748"/>
      <c r="J90" s="749"/>
      <c r="K90" s="749" t="str">
        <f t="shared" si="13"/>
        <v/>
      </c>
      <c r="L90" s="749"/>
      <c r="M90" s="748"/>
      <c r="N90" s="749"/>
      <c r="O90" s="749" t="str">
        <f t="shared" si="14"/>
        <v/>
      </c>
      <c r="P90" s="749"/>
      <c r="Q90" s="748"/>
      <c r="R90" s="749"/>
      <c r="S90" s="749" t="str">
        <f t="shared" si="15"/>
        <v/>
      </c>
      <c r="T90" s="749"/>
      <c r="U90" s="748"/>
      <c r="V90" s="749"/>
      <c r="W90" s="749" t="str">
        <f t="shared" si="16"/>
        <v/>
      </c>
      <c r="X90" s="749"/>
      <c r="Y90" s="748"/>
      <c r="Z90" s="749"/>
      <c r="AA90" s="749" t="str">
        <f t="shared" si="17"/>
        <v/>
      </c>
      <c r="AB90" s="749"/>
      <c r="AC90" s="748"/>
      <c r="AD90" s="749"/>
      <c r="AE90" s="749" t="str">
        <f t="shared" si="18"/>
        <v/>
      </c>
      <c r="AF90" s="749"/>
      <c r="AG90" s="748"/>
      <c r="AH90" s="749"/>
      <c r="AI90" s="749" t="str">
        <f t="shared" si="19"/>
        <v/>
      </c>
      <c r="AJ90" s="749"/>
      <c r="AK90" s="748"/>
      <c r="AL90" s="749"/>
      <c r="AM90" s="749" t="str">
        <f t="shared" si="20"/>
        <v/>
      </c>
      <c r="AN90" s="749"/>
      <c r="AO90" s="748"/>
      <c r="AP90" s="749"/>
      <c r="AQ90" s="749" t="str">
        <f t="shared" si="21"/>
        <v/>
      </c>
      <c r="AR90" s="750"/>
      <c r="AS90" s="751"/>
    </row>
    <row r="91" spans="1:45" x14ac:dyDescent="0.25">
      <c r="A91" s="748">
        <v>44</v>
      </c>
      <c r="B91" s="749" t="s">
        <v>415</v>
      </c>
      <c r="C91" s="749" t="str">
        <f t="shared" si="11"/>
        <v>/</v>
      </c>
      <c r="D91" s="749" t="s">
        <v>416</v>
      </c>
      <c r="E91" s="748"/>
      <c r="F91" s="749"/>
      <c r="G91" s="749" t="str">
        <f t="shared" si="12"/>
        <v/>
      </c>
      <c r="H91" s="749"/>
      <c r="I91" s="748"/>
      <c r="J91" s="749"/>
      <c r="K91" s="749" t="str">
        <f t="shared" si="13"/>
        <v/>
      </c>
      <c r="L91" s="749"/>
      <c r="M91" s="748"/>
      <c r="N91" s="749"/>
      <c r="O91" s="749" t="str">
        <f t="shared" si="14"/>
        <v/>
      </c>
      <c r="P91" s="749"/>
      <c r="Q91" s="748"/>
      <c r="R91" s="749"/>
      <c r="S91" s="749" t="str">
        <f t="shared" si="15"/>
        <v/>
      </c>
      <c r="T91" s="749"/>
      <c r="U91" s="748"/>
      <c r="V91" s="749"/>
      <c r="W91" s="749" t="str">
        <f t="shared" si="16"/>
        <v/>
      </c>
      <c r="X91" s="749"/>
      <c r="Y91" s="748"/>
      <c r="Z91" s="749"/>
      <c r="AA91" s="749" t="str">
        <f t="shared" si="17"/>
        <v/>
      </c>
      <c r="AB91" s="749"/>
      <c r="AC91" s="748"/>
      <c r="AD91" s="749"/>
      <c r="AE91" s="749" t="str">
        <f t="shared" si="18"/>
        <v/>
      </c>
      <c r="AF91" s="749"/>
      <c r="AG91" s="748"/>
      <c r="AH91" s="749"/>
      <c r="AI91" s="749" t="str">
        <f t="shared" si="19"/>
        <v/>
      </c>
      <c r="AJ91" s="749"/>
      <c r="AK91" s="748"/>
      <c r="AL91" s="749"/>
      <c r="AM91" s="749" t="str">
        <f t="shared" si="20"/>
        <v/>
      </c>
      <c r="AN91" s="749"/>
      <c r="AO91" s="748"/>
      <c r="AP91" s="749"/>
      <c r="AQ91" s="749" t="str">
        <f t="shared" si="21"/>
        <v/>
      </c>
      <c r="AR91" s="750"/>
      <c r="AS91" s="751"/>
    </row>
    <row r="92" spans="1:45" x14ac:dyDescent="0.25">
      <c r="A92" s="748"/>
      <c r="B92" s="749"/>
      <c r="C92" s="749" t="str">
        <f t="shared" si="11"/>
        <v/>
      </c>
      <c r="D92" s="749"/>
      <c r="E92" s="748"/>
      <c r="F92" s="749"/>
      <c r="G92" s="749" t="str">
        <f t="shared" si="12"/>
        <v/>
      </c>
      <c r="H92" s="749"/>
      <c r="I92" s="748"/>
      <c r="J92" s="749"/>
      <c r="K92" s="749" t="str">
        <f t="shared" si="13"/>
        <v/>
      </c>
      <c r="L92" s="749"/>
      <c r="M92" s="748">
        <v>6</v>
      </c>
      <c r="N92" s="749" t="s">
        <v>417</v>
      </c>
      <c r="O92" s="749" t="str">
        <f t="shared" si="14"/>
        <v>/</v>
      </c>
      <c r="P92" s="749" t="s">
        <v>418</v>
      </c>
      <c r="Q92" s="748"/>
      <c r="R92" s="749"/>
      <c r="S92" s="749" t="str">
        <f t="shared" si="15"/>
        <v/>
      </c>
      <c r="T92" s="749"/>
      <c r="U92" s="748"/>
      <c r="V92" s="749"/>
      <c r="W92" s="749" t="str">
        <f t="shared" si="16"/>
        <v/>
      </c>
      <c r="X92" s="749"/>
      <c r="Y92" s="748"/>
      <c r="Z92" s="749"/>
      <c r="AA92" s="749" t="str">
        <f t="shared" si="17"/>
        <v/>
      </c>
      <c r="AB92" s="749"/>
      <c r="AC92" s="748"/>
      <c r="AD92" s="749"/>
      <c r="AE92" s="749" t="str">
        <f t="shared" si="18"/>
        <v/>
      </c>
      <c r="AF92" s="749"/>
      <c r="AG92" s="748"/>
      <c r="AH92" s="749"/>
      <c r="AI92" s="749" t="str">
        <f t="shared" si="19"/>
        <v/>
      </c>
      <c r="AJ92" s="749"/>
      <c r="AK92" s="748"/>
      <c r="AL92" s="749"/>
      <c r="AM92" s="749" t="str">
        <f t="shared" si="20"/>
        <v/>
      </c>
      <c r="AN92" s="749"/>
      <c r="AO92" s="748"/>
      <c r="AP92" s="749"/>
      <c r="AQ92" s="749" t="str">
        <f t="shared" si="21"/>
        <v/>
      </c>
      <c r="AR92" s="750"/>
      <c r="AS92" s="751"/>
    </row>
    <row r="93" spans="1:45" x14ac:dyDescent="0.25">
      <c r="A93" s="748">
        <v>45</v>
      </c>
      <c r="B93" s="749" t="s">
        <v>419</v>
      </c>
      <c r="C93" s="749" t="str">
        <f t="shared" si="11"/>
        <v>/</v>
      </c>
      <c r="D93" s="749" t="s">
        <v>420</v>
      </c>
      <c r="E93" s="748"/>
      <c r="F93" s="749"/>
      <c r="G93" s="749" t="str">
        <f t="shared" si="12"/>
        <v/>
      </c>
      <c r="H93" s="749"/>
      <c r="I93" s="748"/>
      <c r="J93" s="749"/>
      <c r="K93" s="749" t="str">
        <f t="shared" si="13"/>
        <v/>
      </c>
      <c r="L93" s="749"/>
      <c r="M93" s="748"/>
      <c r="N93" s="749"/>
      <c r="O93" s="749" t="str">
        <f t="shared" si="14"/>
        <v/>
      </c>
      <c r="P93" s="749"/>
      <c r="Q93" s="748"/>
      <c r="R93" s="749"/>
      <c r="S93" s="749" t="str">
        <f t="shared" si="15"/>
        <v/>
      </c>
      <c r="T93" s="749"/>
      <c r="U93" s="748"/>
      <c r="V93" s="749"/>
      <c r="W93" s="749" t="str">
        <f t="shared" si="16"/>
        <v/>
      </c>
      <c r="X93" s="749"/>
      <c r="Y93" s="748"/>
      <c r="Z93" s="749"/>
      <c r="AA93" s="749" t="str">
        <f t="shared" si="17"/>
        <v/>
      </c>
      <c r="AB93" s="749"/>
      <c r="AC93" s="748"/>
      <c r="AD93" s="749"/>
      <c r="AE93" s="749" t="str">
        <f t="shared" si="18"/>
        <v/>
      </c>
      <c r="AF93" s="749"/>
      <c r="AG93" s="748"/>
      <c r="AH93" s="749"/>
      <c r="AI93" s="749" t="str">
        <f t="shared" si="19"/>
        <v/>
      </c>
      <c r="AJ93" s="749"/>
      <c r="AK93" s="748"/>
      <c r="AL93" s="749"/>
      <c r="AM93" s="749" t="str">
        <f t="shared" si="20"/>
        <v/>
      </c>
      <c r="AN93" s="749"/>
      <c r="AO93" s="748"/>
      <c r="AP93" s="749"/>
      <c r="AQ93" s="749" t="str">
        <f t="shared" si="21"/>
        <v/>
      </c>
      <c r="AR93" s="750"/>
      <c r="AS93" s="751"/>
    </row>
    <row r="94" spans="1:45" x14ac:dyDescent="0.25">
      <c r="A94" s="748"/>
      <c r="B94" s="749"/>
      <c r="C94" s="749" t="str">
        <f t="shared" si="11"/>
        <v/>
      </c>
      <c r="D94" s="749"/>
      <c r="E94" s="748">
        <v>23</v>
      </c>
      <c r="F94" s="749" t="s">
        <v>421</v>
      </c>
      <c r="G94" s="749" t="str">
        <f t="shared" si="12"/>
        <v>/</v>
      </c>
      <c r="H94" s="749" t="s">
        <v>422</v>
      </c>
      <c r="I94" s="748"/>
      <c r="J94" s="749"/>
      <c r="K94" s="749" t="str">
        <f t="shared" si="13"/>
        <v/>
      </c>
      <c r="L94" s="749"/>
      <c r="M94" s="748"/>
      <c r="N94" s="749"/>
      <c r="O94" s="749" t="str">
        <f t="shared" si="14"/>
        <v/>
      </c>
      <c r="P94" s="749"/>
      <c r="Q94" s="748"/>
      <c r="R94" s="749"/>
      <c r="S94" s="749" t="str">
        <f t="shared" si="15"/>
        <v/>
      </c>
      <c r="T94" s="749"/>
      <c r="U94" s="748"/>
      <c r="V94" s="749"/>
      <c r="W94" s="749" t="str">
        <f t="shared" si="16"/>
        <v/>
      </c>
      <c r="X94" s="749"/>
      <c r="Y94" s="748"/>
      <c r="Z94" s="749"/>
      <c r="AA94" s="749" t="str">
        <f t="shared" si="17"/>
        <v/>
      </c>
      <c r="AB94" s="749"/>
      <c r="AC94" s="748"/>
      <c r="AD94" s="749"/>
      <c r="AE94" s="749" t="str">
        <f t="shared" si="18"/>
        <v/>
      </c>
      <c r="AF94" s="749"/>
      <c r="AG94" s="748"/>
      <c r="AH94" s="749"/>
      <c r="AI94" s="749" t="str">
        <f t="shared" si="19"/>
        <v/>
      </c>
      <c r="AJ94" s="749"/>
      <c r="AK94" s="748"/>
      <c r="AL94" s="749"/>
      <c r="AM94" s="749" t="str">
        <f t="shared" si="20"/>
        <v/>
      </c>
      <c r="AN94" s="749"/>
      <c r="AO94" s="748"/>
      <c r="AP94" s="749"/>
      <c r="AQ94" s="749" t="str">
        <f t="shared" si="21"/>
        <v/>
      </c>
      <c r="AR94" s="750"/>
      <c r="AS94" s="751"/>
    </row>
    <row r="95" spans="1:45" x14ac:dyDescent="0.25">
      <c r="A95" s="748">
        <v>46</v>
      </c>
      <c r="B95" s="749" t="s">
        <v>423</v>
      </c>
      <c r="C95" s="749" t="str">
        <f t="shared" si="11"/>
        <v>/</v>
      </c>
      <c r="D95" s="749" t="s">
        <v>424</v>
      </c>
      <c r="E95" s="748"/>
      <c r="F95" s="749"/>
      <c r="G95" s="749" t="str">
        <f t="shared" si="12"/>
        <v/>
      </c>
      <c r="H95" s="749"/>
      <c r="I95" s="748"/>
      <c r="J95" s="749"/>
      <c r="K95" s="749" t="str">
        <f t="shared" si="13"/>
        <v/>
      </c>
      <c r="L95" s="749"/>
      <c r="M95" s="748"/>
      <c r="N95" s="749"/>
      <c r="O95" s="749" t="str">
        <f t="shared" si="14"/>
        <v/>
      </c>
      <c r="P95" s="749"/>
      <c r="Q95" s="748"/>
      <c r="R95" s="749"/>
      <c r="S95" s="749" t="str">
        <f t="shared" si="15"/>
        <v/>
      </c>
      <c r="T95" s="749"/>
      <c r="U95" s="748"/>
      <c r="V95" s="749"/>
      <c r="W95" s="749" t="str">
        <f t="shared" si="16"/>
        <v/>
      </c>
      <c r="X95" s="749"/>
      <c r="Y95" s="748"/>
      <c r="Z95" s="749"/>
      <c r="AA95" s="749" t="str">
        <f t="shared" si="17"/>
        <v/>
      </c>
      <c r="AB95" s="749"/>
      <c r="AC95" s="748"/>
      <c r="AD95" s="749"/>
      <c r="AE95" s="749" t="str">
        <f t="shared" si="18"/>
        <v/>
      </c>
      <c r="AF95" s="749"/>
      <c r="AG95" s="748"/>
      <c r="AH95" s="749"/>
      <c r="AI95" s="749" t="str">
        <f t="shared" si="19"/>
        <v/>
      </c>
      <c r="AJ95" s="749"/>
      <c r="AK95" s="748"/>
      <c r="AL95" s="749"/>
      <c r="AM95" s="749" t="str">
        <f t="shared" si="20"/>
        <v/>
      </c>
      <c r="AN95" s="749"/>
      <c r="AO95" s="748"/>
      <c r="AP95" s="749"/>
      <c r="AQ95" s="749" t="str">
        <f t="shared" si="21"/>
        <v/>
      </c>
      <c r="AR95" s="750"/>
      <c r="AS95" s="751"/>
    </row>
    <row r="96" spans="1:45" x14ac:dyDescent="0.25">
      <c r="A96" s="748"/>
      <c r="B96" s="749"/>
      <c r="C96" s="749" t="str">
        <f t="shared" si="11"/>
        <v/>
      </c>
      <c r="D96" s="749"/>
      <c r="E96" s="748"/>
      <c r="F96" s="749"/>
      <c r="G96" s="749" t="str">
        <f t="shared" si="12"/>
        <v/>
      </c>
      <c r="H96" s="749"/>
      <c r="I96" s="748">
        <v>12</v>
      </c>
      <c r="J96" s="749" t="s">
        <v>425</v>
      </c>
      <c r="K96" s="749" t="str">
        <f t="shared" si="13"/>
        <v>/</v>
      </c>
      <c r="L96" s="749" t="s">
        <v>426</v>
      </c>
      <c r="M96" s="748"/>
      <c r="N96" s="749"/>
      <c r="O96" s="749" t="str">
        <f t="shared" si="14"/>
        <v/>
      </c>
      <c r="P96" s="749"/>
      <c r="Q96" s="748">
        <v>4</v>
      </c>
      <c r="R96" s="749" t="s">
        <v>425</v>
      </c>
      <c r="S96" s="749" t="str">
        <f t="shared" si="15"/>
        <v>/</v>
      </c>
      <c r="T96" s="749" t="s">
        <v>426</v>
      </c>
      <c r="U96" s="748"/>
      <c r="V96" s="749"/>
      <c r="W96" s="749" t="str">
        <f t="shared" si="16"/>
        <v/>
      </c>
      <c r="X96" s="749"/>
      <c r="Y96" s="748"/>
      <c r="Z96" s="749"/>
      <c r="AA96" s="749" t="str">
        <f t="shared" si="17"/>
        <v/>
      </c>
      <c r="AB96" s="749"/>
      <c r="AC96" s="748"/>
      <c r="AD96" s="749"/>
      <c r="AE96" s="749" t="str">
        <f t="shared" si="18"/>
        <v/>
      </c>
      <c r="AF96" s="749"/>
      <c r="AG96" s="748"/>
      <c r="AH96" s="749"/>
      <c r="AI96" s="749" t="str">
        <f t="shared" si="19"/>
        <v/>
      </c>
      <c r="AJ96" s="749"/>
      <c r="AK96" s="748"/>
      <c r="AL96" s="749"/>
      <c r="AM96" s="749" t="str">
        <f t="shared" si="20"/>
        <v/>
      </c>
      <c r="AN96" s="749"/>
      <c r="AO96" s="748"/>
      <c r="AP96" s="749"/>
      <c r="AQ96" s="749" t="str">
        <f t="shared" si="21"/>
        <v/>
      </c>
      <c r="AR96" s="750"/>
      <c r="AS96" s="751"/>
    </row>
    <row r="97" spans="1:45" x14ac:dyDescent="0.25">
      <c r="A97" s="748">
        <v>47</v>
      </c>
      <c r="B97" s="749" t="s">
        <v>427</v>
      </c>
      <c r="C97" s="749" t="str">
        <f t="shared" si="11"/>
        <v>/</v>
      </c>
      <c r="D97" s="749" t="s">
        <v>428</v>
      </c>
      <c r="E97" s="748"/>
      <c r="F97" s="749"/>
      <c r="G97" s="749" t="str">
        <f t="shared" si="12"/>
        <v/>
      </c>
      <c r="H97" s="749"/>
      <c r="I97" s="748"/>
      <c r="J97" s="749"/>
      <c r="K97" s="749" t="str">
        <f t="shared" si="13"/>
        <v/>
      </c>
      <c r="L97" s="749"/>
      <c r="M97" s="748"/>
      <c r="N97" s="749"/>
      <c r="O97" s="749" t="str">
        <f t="shared" si="14"/>
        <v/>
      </c>
      <c r="P97" s="749"/>
      <c r="Q97" s="748"/>
      <c r="R97" s="749"/>
      <c r="S97" s="749" t="str">
        <f t="shared" si="15"/>
        <v/>
      </c>
      <c r="T97" s="749"/>
      <c r="U97" s="748"/>
      <c r="V97" s="749"/>
      <c r="W97" s="749" t="str">
        <f t="shared" si="16"/>
        <v/>
      </c>
      <c r="X97" s="749"/>
      <c r="Y97" s="748"/>
      <c r="Z97" s="749"/>
      <c r="AA97" s="749" t="str">
        <f t="shared" si="17"/>
        <v/>
      </c>
      <c r="AB97" s="749"/>
      <c r="AC97" s="748"/>
      <c r="AD97" s="749"/>
      <c r="AE97" s="749" t="str">
        <f t="shared" si="18"/>
        <v/>
      </c>
      <c r="AF97" s="749"/>
      <c r="AG97" s="748"/>
      <c r="AH97" s="749"/>
      <c r="AI97" s="749" t="str">
        <f t="shared" si="19"/>
        <v/>
      </c>
      <c r="AJ97" s="749"/>
      <c r="AK97" s="748"/>
      <c r="AL97" s="749"/>
      <c r="AM97" s="749" t="str">
        <f t="shared" si="20"/>
        <v/>
      </c>
      <c r="AN97" s="749"/>
      <c r="AO97" s="748"/>
      <c r="AP97" s="749"/>
      <c r="AQ97" s="749" t="str">
        <f t="shared" si="21"/>
        <v/>
      </c>
      <c r="AR97" s="750"/>
      <c r="AS97" s="751"/>
    </row>
    <row r="98" spans="1:45" x14ac:dyDescent="0.25">
      <c r="A98" s="748"/>
      <c r="B98" s="749"/>
      <c r="C98" s="749" t="str">
        <f t="shared" si="11"/>
        <v/>
      </c>
      <c r="D98" s="749"/>
      <c r="E98" s="748">
        <v>24</v>
      </c>
      <c r="F98" s="749" t="s">
        <v>429</v>
      </c>
      <c r="G98" s="749" t="str">
        <f t="shared" si="12"/>
        <v>/</v>
      </c>
      <c r="H98" s="749" t="s">
        <v>430</v>
      </c>
      <c r="I98" s="748"/>
      <c r="J98" s="749"/>
      <c r="K98" s="749" t="str">
        <f t="shared" si="13"/>
        <v/>
      </c>
      <c r="L98" s="749"/>
      <c r="M98" s="748"/>
      <c r="N98" s="749"/>
      <c r="O98" s="749" t="str">
        <f t="shared" si="14"/>
        <v/>
      </c>
      <c r="P98" s="749"/>
      <c r="Q98" s="748"/>
      <c r="R98" s="749"/>
      <c r="S98" s="749" t="str">
        <f t="shared" si="15"/>
        <v/>
      </c>
      <c r="T98" s="749"/>
      <c r="U98" s="748"/>
      <c r="V98" s="749"/>
      <c r="W98" s="749" t="str">
        <f t="shared" si="16"/>
        <v/>
      </c>
      <c r="X98" s="749"/>
      <c r="Y98" s="748"/>
      <c r="Z98" s="749"/>
      <c r="AA98" s="749" t="str">
        <f t="shared" si="17"/>
        <v/>
      </c>
      <c r="AB98" s="749"/>
      <c r="AC98" s="748"/>
      <c r="AD98" s="749"/>
      <c r="AE98" s="749" t="str">
        <f t="shared" si="18"/>
        <v/>
      </c>
      <c r="AF98" s="749"/>
      <c r="AG98" s="748"/>
      <c r="AH98" s="749"/>
      <c r="AI98" s="749" t="str">
        <f t="shared" si="19"/>
        <v/>
      </c>
      <c r="AJ98" s="749"/>
      <c r="AK98" s="748"/>
      <c r="AL98" s="749"/>
      <c r="AM98" s="749" t="str">
        <f t="shared" si="20"/>
        <v/>
      </c>
      <c r="AN98" s="749"/>
      <c r="AO98" s="748"/>
      <c r="AP98" s="749"/>
      <c r="AQ98" s="749" t="str">
        <f t="shared" si="21"/>
        <v/>
      </c>
      <c r="AR98" s="750"/>
      <c r="AS98" s="751"/>
    </row>
    <row r="99" spans="1:45" x14ac:dyDescent="0.25">
      <c r="A99" s="748">
        <v>48</v>
      </c>
      <c r="B99" s="749" t="s">
        <v>431</v>
      </c>
      <c r="C99" s="749" t="str">
        <f t="shared" si="11"/>
        <v>/</v>
      </c>
      <c r="D99" s="749" t="s">
        <v>432</v>
      </c>
      <c r="E99" s="748"/>
      <c r="F99" s="749"/>
      <c r="G99" s="749" t="str">
        <f t="shared" si="12"/>
        <v/>
      </c>
      <c r="H99" s="749"/>
      <c r="I99" s="748"/>
      <c r="J99" s="749"/>
      <c r="K99" s="749" t="str">
        <f t="shared" si="13"/>
        <v/>
      </c>
      <c r="L99" s="749"/>
      <c r="M99" s="748"/>
      <c r="N99" s="749"/>
      <c r="O99" s="749" t="str">
        <f t="shared" si="14"/>
        <v/>
      </c>
      <c r="P99" s="749"/>
      <c r="Q99" s="748"/>
      <c r="R99" s="749"/>
      <c r="S99" s="749" t="str">
        <f t="shared" si="15"/>
        <v/>
      </c>
      <c r="T99" s="749"/>
      <c r="U99" s="748"/>
      <c r="V99" s="749"/>
      <c r="W99" s="749" t="str">
        <f t="shared" si="16"/>
        <v/>
      </c>
      <c r="X99" s="749"/>
      <c r="Y99" s="748"/>
      <c r="Z99" s="749"/>
      <c r="AA99" s="749" t="str">
        <f t="shared" si="17"/>
        <v/>
      </c>
      <c r="AB99" s="749"/>
      <c r="AC99" s="748"/>
      <c r="AD99" s="749"/>
      <c r="AE99" s="749" t="str">
        <f t="shared" si="18"/>
        <v/>
      </c>
      <c r="AF99" s="749"/>
      <c r="AG99" s="748"/>
      <c r="AH99" s="749"/>
      <c r="AI99" s="749" t="str">
        <f t="shared" si="19"/>
        <v/>
      </c>
      <c r="AJ99" s="749"/>
      <c r="AK99" s="748"/>
      <c r="AL99" s="749"/>
      <c r="AM99" s="749" t="str">
        <f t="shared" si="20"/>
        <v/>
      </c>
      <c r="AN99" s="749"/>
      <c r="AO99" s="748"/>
      <c r="AP99" s="749"/>
      <c r="AQ99" s="749" t="str">
        <f t="shared" si="21"/>
        <v/>
      </c>
      <c r="AR99" s="750"/>
      <c r="AS99" s="751"/>
    </row>
    <row r="100" spans="1:45" x14ac:dyDescent="0.25">
      <c r="A100" s="748"/>
      <c r="B100" s="749"/>
      <c r="C100" s="749" t="str">
        <f t="shared" si="11"/>
        <v/>
      </c>
      <c r="D100" s="749"/>
      <c r="E100" s="748"/>
      <c r="F100" s="749"/>
      <c r="G100" s="749" t="str">
        <f t="shared" si="12"/>
        <v/>
      </c>
      <c r="H100" s="749"/>
      <c r="I100" s="748"/>
      <c r="J100" s="749"/>
      <c r="K100" s="749" t="str">
        <f t="shared" si="13"/>
        <v/>
      </c>
      <c r="L100" s="749"/>
      <c r="M100" s="748"/>
      <c r="N100" s="749"/>
      <c r="O100" s="749" t="str">
        <f t="shared" si="14"/>
        <v/>
      </c>
      <c r="P100" s="749"/>
      <c r="Q100" s="748"/>
      <c r="R100" s="749"/>
      <c r="S100" s="749" t="str">
        <f t="shared" si="15"/>
        <v/>
      </c>
      <c r="T100" s="749"/>
      <c r="U100" s="748">
        <v>3</v>
      </c>
      <c r="V100" s="749" t="s">
        <v>433</v>
      </c>
      <c r="W100" s="749" t="str">
        <f>IF(V100&lt;&gt;"","/","")</f>
        <v>/</v>
      </c>
      <c r="X100" s="749" t="s">
        <v>434</v>
      </c>
      <c r="Y100" s="748"/>
      <c r="Z100" s="749"/>
      <c r="AA100" s="749" t="str">
        <f t="shared" si="17"/>
        <v/>
      </c>
      <c r="AB100" s="749"/>
      <c r="AC100" s="748"/>
      <c r="AD100" s="749"/>
      <c r="AE100" s="749" t="str">
        <f>IF(AD100&lt;&gt;"","/","")</f>
        <v/>
      </c>
      <c r="AF100" s="749"/>
      <c r="AG100" s="748"/>
      <c r="AH100" s="749"/>
      <c r="AI100" s="749" t="str">
        <f t="shared" si="19"/>
        <v/>
      </c>
      <c r="AJ100" s="749"/>
      <c r="AK100" s="748"/>
      <c r="AL100" s="749"/>
      <c r="AM100" s="749" t="str">
        <f t="shared" si="20"/>
        <v/>
      </c>
      <c r="AN100" s="749"/>
      <c r="AO100" s="748"/>
      <c r="AP100" s="749"/>
      <c r="AQ100" s="749" t="str">
        <f t="shared" si="21"/>
        <v/>
      </c>
      <c r="AR100" s="750"/>
      <c r="AS100" s="751"/>
    </row>
    <row r="101" spans="1:45" x14ac:dyDescent="0.25">
      <c r="A101" s="748">
        <v>49</v>
      </c>
      <c r="B101" s="749" t="s">
        <v>435</v>
      </c>
      <c r="C101" s="749" t="str">
        <f t="shared" si="11"/>
        <v>/</v>
      </c>
      <c r="D101" s="749" t="s">
        <v>436</v>
      </c>
      <c r="E101" s="748"/>
      <c r="F101" s="749"/>
      <c r="G101" s="749" t="str">
        <f t="shared" si="12"/>
        <v/>
      </c>
      <c r="H101" s="749"/>
      <c r="I101" s="748"/>
      <c r="J101" s="749"/>
      <c r="K101" s="749" t="str">
        <f t="shared" si="13"/>
        <v/>
      </c>
      <c r="L101" s="749"/>
      <c r="M101" s="748"/>
      <c r="N101" s="749"/>
      <c r="O101" s="749" t="str">
        <f t="shared" si="14"/>
        <v/>
      </c>
      <c r="P101" s="749"/>
      <c r="Q101" s="748"/>
      <c r="R101" s="749"/>
      <c r="S101" s="749" t="str">
        <f t="shared" si="15"/>
        <v/>
      </c>
      <c r="T101" s="749"/>
      <c r="U101" s="748"/>
      <c r="V101" s="749"/>
      <c r="W101" s="749"/>
      <c r="X101" s="749"/>
      <c r="Y101" s="748"/>
      <c r="Z101" s="749"/>
      <c r="AA101" s="749" t="str">
        <f t="shared" si="17"/>
        <v/>
      </c>
      <c r="AB101" s="749"/>
      <c r="AC101" s="748"/>
      <c r="AD101" s="749"/>
      <c r="AE101" s="749"/>
      <c r="AF101" s="749"/>
      <c r="AG101" s="748"/>
      <c r="AH101" s="749"/>
      <c r="AI101" s="749" t="str">
        <f t="shared" si="19"/>
        <v/>
      </c>
      <c r="AJ101" s="749"/>
      <c r="AK101" s="748"/>
      <c r="AL101" s="749"/>
      <c r="AM101" s="749" t="str">
        <f t="shared" si="20"/>
        <v/>
      </c>
      <c r="AN101" s="749"/>
      <c r="AO101" s="748"/>
      <c r="AP101" s="749"/>
      <c r="AQ101" s="749" t="str">
        <f t="shared" si="21"/>
        <v/>
      </c>
      <c r="AR101" s="750"/>
      <c r="AS101" s="751"/>
    </row>
    <row r="102" spans="1:45" x14ac:dyDescent="0.25">
      <c r="A102" s="748"/>
      <c r="B102" s="749"/>
      <c r="C102" s="749" t="str">
        <f t="shared" si="11"/>
        <v/>
      </c>
      <c r="D102" s="749"/>
      <c r="E102" s="748">
        <v>25</v>
      </c>
      <c r="F102" s="749" t="s">
        <v>437</v>
      </c>
      <c r="G102" s="749" t="str">
        <f t="shared" si="12"/>
        <v>/</v>
      </c>
      <c r="H102" s="749" t="s">
        <v>438</v>
      </c>
      <c r="I102" s="748"/>
      <c r="J102" s="749"/>
      <c r="K102" s="749" t="str">
        <f t="shared" si="13"/>
        <v/>
      </c>
      <c r="L102" s="749"/>
      <c r="M102" s="748"/>
      <c r="N102" s="749"/>
      <c r="O102" s="749" t="str">
        <f t="shared" si="14"/>
        <v/>
      </c>
      <c r="P102" s="749"/>
      <c r="Q102" s="748"/>
      <c r="R102" s="749"/>
      <c r="S102" s="749" t="str">
        <f t="shared" si="15"/>
        <v/>
      </c>
      <c r="T102" s="749"/>
      <c r="U102" s="748"/>
      <c r="V102" s="749"/>
      <c r="W102" s="749" t="str">
        <f t="shared" si="16"/>
        <v/>
      </c>
      <c r="X102" s="749"/>
      <c r="Y102" s="748"/>
      <c r="Z102" s="749"/>
      <c r="AA102" s="749" t="str">
        <f t="shared" si="17"/>
        <v/>
      </c>
      <c r="AB102" s="749"/>
      <c r="AC102" s="748"/>
      <c r="AD102" s="749"/>
      <c r="AE102" s="749" t="str">
        <f t="shared" si="18"/>
        <v/>
      </c>
      <c r="AF102" s="749"/>
      <c r="AG102" s="748"/>
      <c r="AH102" s="749"/>
      <c r="AI102" s="749" t="str">
        <f t="shared" si="19"/>
        <v/>
      </c>
      <c r="AJ102" s="749"/>
      <c r="AK102" s="748"/>
      <c r="AL102" s="749"/>
      <c r="AM102" s="749" t="str">
        <f t="shared" si="20"/>
        <v/>
      </c>
      <c r="AN102" s="749"/>
      <c r="AO102" s="748"/>
      <c r="AP102" s="749"/>
      <c r="AQ102" s="749" t="str">
        <f t="shared" si="21"/>
        <v/>
      </c>
      <c r="AR102" s="750"/>
      <c r="AS102" s="751"/>
    </row>
    <row r="103" spans="1:45" x14ac:dyDescent="0.25">
      <c r="A103" s="748">
        <v>50</v>
      </c>
      <c r="B103" s="749" t="s">
        <v>439</v>
      </c>
      <c r="C103" s="749" t="str">
        <f t="shared" si="11"/>
        <v>/</v>
      </c>
      <c r="D103" s="749" t="s">
        <v>440</v>
      </c>
      <c r="E103" s="748"/>
      <c r="F103" s="749"/>
      <c r="G103" s="749" t="str">
        <f t="shared" si="12"/>
        <v/>
      </c>
      <c r="H103" s="749"/>
      <c r="I103" s="748"/>
      <c r="J103" s="749"/>
      <c r="K103" s="749" t="str">
        <f t="shared" si="13"/>
        <v/>
      </c>
      <c r="L103" s="749"/>
      <c r="M103" s="748"/>
      <c r="N103" s="749"/>
      <c r="O103" s="749" t="str">
        <f t="shared" si="14"/>
        <v/>
      </c>
      <c r="P103" s="749"/>
      <c r="Q103" s="748"/>
      <c r="R103" s="749"/>
      <c r="S103" s="749" t="str">
        <f t="shared" si="15"/>
        <v/>
      </c>
      <c r="T103" s="749"/>
      <c r="U103" s="748"/>
      <c r="V103" s="749"/>
      <c r="W103" s="749" t="str">
        <f t="shared" si="16"/>
        <v/>
      </c>
      <c r="X103" s="749"/>
      <c r="Y103" s="748"/>
      <c r="Z103" s="749"/>
      <c r="AA103" s="749" t="str">
        <f t="shared" si="17"/>
        <v/>
      </c>
      <c r="AB103" s="749"/>
      <c r="AC103" s="748"/>
      <c r="AD103" s="749"/>
      <c r="AE103" s="749" t="str">
        <f t="shared" si="18"/>
        <v/>
      </c>
      <c r="AF103" s="749"/>
      <c r="AG103" s="748"/>
      <c r="AH103" s="749"/>
      <c r="AI103" s="749" t="str">
        <f t="shared" si="19"/>
        <v/>
      </c>
      <c r="AJ103" s="749"/>
      <c r="AK103" s="748"/>
      <c r="AL103" s="749"/>
      <c r="AM103" s="749" t="str">
        <f t="shared" si="20"/>
        <v/>
      </c>
      <c r="AN103" s="749"/>
      <c r="AO103" s="748"/>
      <c r="AP103" s="749"/>
      <c r="AQ103" s="749" t="str">
        <f t="shared" si="21"/>
        <v/>
      </c>
      <c r="AR103" s="750"/>
      <c r="AS103" s="751"/>
    </row>
    <row r="104" spans="1:45" x14ac:dyDescent="0.25">
      <c r="A104" s="748"/>
      <c r="B104" s="749"/>
      <c r="C104" s="749" t="str">
        <f t="shared" si="11"/>
        <v/>
      </c>
      <c r="D104" s="749"/>
      <c r="E104" s="748"/>
      <c r="F104" s="749"/>
      <c r="G104" s="749" t="str">
        <f t="shared" si="12"/>
        <v/>
      </c>
      <c r="H104" s="749"/>
      <c r="I104" s="748">
        <v>13</v>
      </c>
      <c r="J104" s="749" t="s">
        <v>441</v>
      </c>
      <c r="K104" s="749" t="str">
        <f t="shared" si="13"/>
        <v>/</v>
      </c>
      <c r="L104" s="749" t="s">
        <v>442</v>
      </c>
      <c r="M104" s="748"/>
      <c r="N104" s="749"/>
      <c r="O104" s="749" t="str">
        <f t="shared" si="14"/>
        <v/>
      </c>
      <c r="P104" s="749"/>
      <c r="Q104" s="748"/>
      <c r="R104" s="749"/>
      <c r="S104" s="749" t="str">
        <f t="shared" si="15"/>
        <v/>
      </c>
      <c r="T104" s="749"/>
      <c r="U104" s="748"/>
      <c r="V104" s="749"/>
      <c r="W104" s="749" t="str">
        <f t="shared" si="16"/>
        <v/>
      </c>
      <c r="X104" s="749"/>
      <c r="Y104" s="748">
        <v>3</v>
      </c>
      <c r="Z104" s="749" t="s">
        <v>441</v>
      </c>
      <c r="AA104" s="749" t="str">
        <f t="shared" si="17"/>
        <v>/</v>
      </c>
      <c r="AB104" s="749" t="s">
        <v>442</v>
      </c>
      <c r="AC104" s="748"/>
      <c r="AD104" s="749"/>
      <c r="AE104" s="749" t="str">
        <f t="shared" si="18"/>
        <v/>
      </c>
      <c r="AF104" s="749"/>
      <c r="AG104" s="748"/>
      <c r="AH104" s="749"/>
      <c r="AI104" s="749" t="str">
        <f t="shared" si="19"/>
        <v/>
      </c>
      <c r="AJ104" s="749"/>
      <c r="AK104" s="748"/>
      <c r="AL104" s="749"/>
      <c r="AM104" s="749" t="str">
        <f t="shared" si="20"/>
        <v/>
      </c>
      <c r="AN104" s="749"/>
      <c r="AO104" s="748"/>
      <c r="AP104" s="749"/>
      <c r="AQ104" s="749" t="str">
        <f t="shared" si="21"/>
        <v/>
      </c>
      <c r="AR104" s="750"/>
      <c r="AS104" s="751"/>
    </row>
    <row r="105" spans="1:45" x14ac:dyDescent="0.25">
      <c r="A105" s="748">
        <v>51</v>
      </c>
      <c r="B105" s="749" t="s">
        <v>443</v>
      </c>
      <c r="C105" s="749" t="str">
        <f t="shared" si="11"/>
        <v>/</v>
      </c>
      <c r="D105" s="749" t="s">
        <v>444</v>
      </c>
      <c r="E105" s="748"/>
      <c r="F105" s="749"/>
      <c r="G105" s="749" t="str">
        <f t="shared" si="12"/>
        <v/>
      </c>
      <c r="H105" s="749"/>
      <c r="I105" s="748"/>
      <c r="J105" s="749"/>
      <c r="K105" s="749" t="str">
        <f t="shared" si="13"/>
        <v/>
      </c>
      <c r="L105" s="749"/>
      <c r="M105" s="748"/>
      <c r="N105" s="749"/>
      <c r="O105" s="749" t="str">
        <f t="shared" si="14"/>
        <v/>
      </c>
      <c r="P105" s="749"/>
      <c r="Q105" s="748"/>
      <c r="R105" s="749"/>
      <c r="S105" s="749" t="str">
        <f t="shared" si="15"/>
        <v/>
      </c>
      <c r="T105" s="749"/>
      <c r="U105" s="748"/>
      <c r="V105" s="749"/>
      <c r="W105" s="749" t="str">
        <f t="shared" si="16"/>
        <v/>
      </c>
      <c r="X105" s="749"/>
      <c r="Y105" s="748"/>
      <c r="Z105" s="749"/>
      <c r="AA105" s="749" t="str">
        <f t="shared" si="17"/>
        <v/>
      </c>
      <c r="AB105" s="749"/>
      <c r="AC105" s="748"/>
      <c r="AD105" s="749"/>
      <c r="AE105" s="749" t="str">
        <f t="shared" si="18"/>
        <v/>
      </c>
      <c r="AF105" s="749"/>
      <c r="AG105" s="748"/>
      <c r="AH105" s="749"/>
      <c r="AI105" s="749" t="str">
        <f t="shared" si="19"/>
        <v/>
      </c>
      <c r="AJ105" s="749"/>
      <c r="AK105" s="748"/>
      <c r="AL105" s="749"/>
      <c r="AM105" s="749" t="str">
        <f t="shared" si="20"/>
        <v/>
      </c>
      <c r="AN105" s="749"/>
      <c r="AO105" s="748"/>
      <c r="AP105" s="749"/>
      <c r="AQ105" s="749" t="str">
        <f t="shared" si="21"/>
        <v/>
      </c>
      <c r="AR105" s="750"/>
      <c r="AS105" s="751"/>
    </row>
    <row r="106" spans="1:45" x14ac:dyDescent="0.25">
      <c r="A106" s="748"/>
      <c r="B106" s="749"/>
      <c r="C106" s="749" t="str">
        <f t="shared" si="11"/>
        <v/>
      </c>
      <c r="D106" s="749"/>
      <c r="E106" s="748">
        <v>26</v>
      </c>
      <c r="F106" s="749" t="s">
        <v>445</v>
      </c>
      <c r="G106" s="749" t="str">
        <f t="shared" si="12"/>
        <v>/</v>
      </c>
      <c r="H106" s="749" t="s">
        <v>446</v>
      </c>
      <c r="I106" s="748"/>
      <c r="J106" s="749"/>
      <c r="K106" s="749" t="str">
        <f t="shared" si="13"/>
        <v/>
      </c>
      <c r="L106" s="749"/>
      <c r="M106" s="748"/>
      <c r="N106" s="749"/>
      <c r="O106" s="749" t="str">
        <f t="shared" si="14"/>
        <v/>
      </c>
      <c r="P106" s="749"/>
      <c r="Q106" s="748"/>
      <c r="R106" s="749"/>
      <c r="S106" s="749" t="str">
        <f t="shared" si="15"/>
        <v/>
      </c>
      <c r="T106" s="749"/>
      <c r="U106" s="748"/>
      <c r="V106" s="749"/>
      <c r="W106" s="749" t="str">
        <f t="shared" si="16"/>
        <v/>
      </c>
      <c r="X106" s="749"/>
      <c r="Y106" s="748"/>
      <c r="Z106" s="749"/>
      <c r="AA106" s="749" t="str">
        <f t="shared" si="17"/>
        <v/>
      </c>
      <c r="AB106" s="749"/>
      <c r="AC106" s="748"/>
      <c r="AD106" s="749"/>
      <c r="AE106" s="749" t="str">
        <f t="shared" si="18"/>
        <v/>
      </c>
      <c r="AF106" s="749"/>
      <c r="AG106" s="748"/>
      <c r="AH106" s="749"/>
      <c r="AI106" s="749" t="str">
        <f t="shared" si="19"/>
        <v/>
      </c>
      <c r="AJ106" s="749"/>
      <c r="AK106" s="748"/>
      <c r="AL106" s="749"/>
      <c r="AM106" s="749" t="str">
        <f t="shared" si="20"/>
        <v/>
      </c>
      <c r="AN106" s="749"/>
      <c r="AO106" s="748"/>
      <c r="AP106" s="749"/>
      <c r="AQ106" s="749" t="str">
        <f t="shared" si="21"/>
        <v/>
      </c>
      <c r="AR106" s="750"/>
      <c r="AS106" s="751"/>
    </row>
    <row r="107" spans="1:45" x14ac:dyDescent="0.25">
      <c r="A107" s="748">
        <v>52</v>
      </c>
      <c r="B107" s="749" t="s">
        <v>447</v>
      </c>
      <c r="C107" s="749" t="str">
        <f t="shared" si="11"/>
        <v>/</v>
      </c>
      <c r="D107" s="749" t="s">
        <v>448</v>
      </c>
      <c r="E107" s="748"/>
      <c r="F107" s="749"/>
      <c r="G107" s="749" t="str">
        <f t="shared" si="12"/>
        <v/>
      </c>
      <c r="H107" s="749"/>
      <c r="I107" s="748"/>
      <c r="J107" s="749"/>
      <c r="K107" s="749" t="str">
        <f t="shared" si="13"/>
        <v/>
      </c>
      <c r="L107" s="749"/>
      <c r="M107" s="748"/>
      <c r="N107" s="749"/>
      <c r="O107" s="749" t="str">
        <f t="shared" si="14"/>
        <v/>
      </c>
      <c r="P107" s="749"/>
      <c r="Q107" s="748"/>
      <c r="R107" s="749"/>
      <c r="S107" s="749" t="str">
        <f t="shared" si="15"/>
        <v/>
      </c>
      <c r="T107" s="749"/>
      <c r="U107" s="748"/>
      <c r="V107" s="749"/>
      <c r="W107" s="749" t="str">
        <f t="shared" si="16"/>
        <v/>
      </c>
      <c r="X107" s="749"/>
      <c r="Y107" s="748"/>
      <c r="Z107" s="749"/>
      <c r="AA107" s="749" t="str">
        <f t="shared" si="17"/>
        <v/>
      </c>
      <c r="AB107" s="749"/>
      <c r="AC107" s="748"/>
      <c r="AD107" s="749"/>
      <c r="AE107" s="749" t="str">
        <f t="shared" si="18"/>
        <v/>
      </c>
      <c r="AF107" s="749"/>
      <c r="AG107" s="748"/>
      <c r="AH107" s="749"/>
      <c r="AI107" s="749" t="str">
        <f t="shared" si="19"/>
        <v/>
      </c>
      <c r="AJ107" s="749"/>
      <c r="AK107" s="748"/>
      <c r="AL107" s="749"/>
      <c r="AM107" s="749" t="str">
        <f t="shared" si="20"/>
        <v/>
      </c>
      <c r="AN107" s="749"/>
      <c r="AO107" s="748"/>
      <c r="AP107" s="749"/>
      <c r="AQ107" s="749" t="str">
        <f t="shared" si="21"/>
        <v/>
      </c>
      <c r="AR107" s="750"/>
      <c r="AS107" s="751"/>
    </row>
    <row r="108" spans="1:45" x14ac:dyDescent="0.25">
      <c r="A108" s="748"/>
      <c r="B108" s="749"/>
      <c r="C108" s="749" t="str">
        <f t="shared" si="11"/>
        <v/>
      </c>
      <c r="D108" s="749"/>
      <c r="E108" s="748"/>
      <c r="F108" s="749"/>
      <c r="G108" s="749" t="str">
        <f t="shared" si="12"/>
        <v/>
      </c>
      <c r="H108" s="749"/>
      <c r="I108" s="748"/>
      <c r="J108" s="749"/>
      <c r="K108" s="749" t="str">
        <f t="shared" si="13"/>
        <v/>
      </c>
      <c r="L108" s="749"/>
      <c r="M108" s="748">
        <v>7</v>
      </c>
      <c r="N108" s="749" t="s">
        <v>449</v>
      </c>
      <c r="O108" s="749" t="str">
        <f t="shared" si="14"/>
        <v>/</v>
      </c>
      <c r="P108" s="749" t="s">
        <v>450</v>
      </c>
      <c r="Q108" s="748"/>
      <c r="R108" s="749"/>
      <c r="S108" s="749" t="str">
        <f t="shared" si="15"/>
        <v/>
      </c>
      <c r="T108" s="749"/>
      <c r="U108" s="748"/>
      <c r="V108" s="749"/>
      <c r="W108" s="749" t="str">
        <f t="shared" si="16"/>
        <v/>
      </c>
      <c r="X108" s="749"/>
      <c r="Y108" s="748"/>
      <c r="Z108" s="749"/>
      <c r="AA108" s="749" t="str">
        <f t="shared" si="17"/>
        <v/>
      </c>
      <c r="AB108" s="749"/>
      <c r="AC108" s="748">
        <v>2</v>
      </c>
      <c r="AD108" s="749" t="s">
        <v>449</v>
      </c>
      <c r="AE108" s="749" t="str">
        <f t="shared" si="18"/>
        <v>/</v>
      </c>
      <c r="AF108" s="749" t="s">
        <v>450</v>
      </c>
      <c r="AG108" s="748"/>
      <c r="AH108" s="749"/>
      <c r="AI108" s="749" t="str">
        <f t="shared" si="19"/>
        <v/>
      </c>
      <c r="AJ108" s="749"/>
      <c r="AK108" s="748"/>
      <c r="AL108" s="749"/>
      <c r="AM108" s="749" t="str">
        <f t="shared" si="20"/>
        <v/>
      </c>
      <c r="AN108" s="749"/>
      <c r="AO108" s="748"/>
      <c r="AP108" s="749"/>
      <c r="AQ108" s="749" t="str">
        <f t="shared" si="21"/>
        <v/>
      </c>
      <c r="AR108" s="750"/>
      <c r="AS108" s="751"/>
    </row>
    <row r="109" spans="1:45" x14ac:dyDescent="0.25">
      <c r="A109" s="748">
        <v>53</v>
      </c>
      <c r="B109" s="749" t="s">
        <v>451</v>
      </c>
      <c r="C109" s="749" t="str">
        <f t="shared" si="11"/>
        <v>/</v>
      </c>
      <c r="D109" s="749" t="s">
        <v>452</v>
      </c>
      <c r="E109" s="748"/>
      <c r="F109" s="749"/>
      <c r="G109" s="749" t="str">
        <f t="shared" si="12"/>
        <v/>
      </c>
      <c r="H109" s="749"/>
      <c r="I109" s="748"/>
      <c r="J109" s="749"/>
      <c r="K109" s="749" t="str">
        <f t="shared" si="13"/>
        <v/>
      </c>
      <c r="L109" s="749"/>
      <c r="M109" s="748"/>
      <c r="N109" s="749"/>
      <c r="O109" s="749" t="str">
        <f t="shared" si="14"/>
        <v/>
      </c>
      <c r="P109" s="749"/>
      <c r="Q109" s="748"/>
      <c r="R109" s="749"/>
      <c r="S109" s="749" t="str">
        <f t="shared" si="15"/>
        <v/>
      </c>
      <c r="T109" s="749"/>
      <c r="U109" s="748"/>
      <c r="V109" s="749"/>
      <c r="W109" s="749" t="str">
        <f t="shared" si="16"/>
        <v/>
      </c>
      <c r="X109" s="749"/>
      <c r="Y109" s="748"/>
      <c r="Z109" s="749"/>
      <c r="AA109" s="749" t="str">
        <f t="shared" si="17"/>
        <v/>
      </c>
      <c r="AB109" s="749"/>
      <c r="AC109" s="748"/>
      <c r="AD109" s="749"/>
      <c r="AE109" s="749" t="str">
        <f t="shared" si="18"/>
        <v/>
      </c>
      <c r="AF109" s="749"/>
      <c r="AG109" s="748"/>
      <c r="AH109" s="749"/>
      <c r="AI109" s="749" t="str">
        <f t="shared" si="19"/>
        <v/>
      </c>
      <c r="AJ109" s="749"/>
      <c r="AK109" s="748"/>
      <c r="AL109" s="749"/>
      <c r="AM109" s="749" t="str">
        <f t="shared" si="20"/>
        <v/>
      </c>
      <c r="AN109" s="749"/>
      <c r="AO109" s="748"/>
      <c r="AP109" s="749"/>
      <c r="AQ109" s="749" t="str">
        <f t="shared" si="21"/>
        <v/>
      </c>
      <c r="AR109" s="750"/>
      <c r="AS109" s="751"/>
    </row>
    <row r="110" spans="1:45" x14ac:dyDescent="0.25">
      <c r="A110" s="748"/>
      <c r="B110" s="749"/>
      <c r="C110" s="749" t="str">
        <f t="shared" si="11"/>
        <v/>
      </c>
      <c r="D110" s="749"/>
      <c r="E110" s="748">
        <v>27</v>
      </c>
      <c r="F110" s="749" t="s">
        <v>453</v>
      </c>
      <c r="G110" s="749" t="str">
        <f t="shared" si="12"/>
        <v>/</v>
      </c>
      <c r="H110" s="749" t="s">
        <v>454</v>
      </c>
      <c r="I110" s="748"/>
      <c r="J110" s="749"/>
      <c r="K110" s="749" t="str">
        <f t="shared" si="13"/>
        <v/>
      </c>
      <c r="L110" s="749"/>
      <c r="M110" s="748"/>
      <c r="N110" s="749"/>
      <c r="O110" s="749" t="str">
        <f t="shared" si="14"/>
        <v/>
      </c>
      <c r="P110" s="749"/>
      <c r="Q110" s="748"/>
      <c r="R110" s="749"/>
      <c r="S110" s="749" t="str">
        <f t="shared" si="15"/>
        <v/>
      </c>
      <c r="T110" s="749"/>
      <c r="U110" s="748"/>
      <c r="V110" s="749"/>
      <c r="W110" s="749" t="str">
        <f t="shared" si="16"/>
        <v/>
      </c>
      <c r="X110" s="749"/>
      <c r="Y110" s="748"/>
      <c r="Z110" s="749"/>
      <c r="AA110" s="749" t="str">
        <f t="shared" si="17"/>
        <v/>
      </c>
      <c r="AB110" s="749"/>
      <c r="AC110" s="748"/>
      <c r="AD110" s="749"/>
      <c r="AE110" s="749" t="str">
        <f t="shared" si="18"/>
        <v/>
      </c>
      <c r="AF110" s="749"/>
      <c r="AG110" s="748"/>
      <c r="AH110" s="749"/>
      <c r="AI110" s="749" t="str">
        <f t="shared" si="19"/>
        <v/>
      </c>
      <c r="AJ110" s="749"/>
      <c r="AK110" s="748"/>
      <c r="AL110" s="749"/>
      <c r="AM110" s="749" t="str">
        <f t="shared" si="20"/>
        <v/>
      </c>
      <c r="AN110" s="749"/>
      <c r="AO110" s="748"/>
      <c r="AP110" s="749"/>
      <c r="AQ110" s="749" t="str">
        <f t="shared" si="21"/>
        <v/>
      </c>
      <c r="AR110" s="750"/>
      <c r="AS110" s="751"/>
    </row>
    <row r="111" spans="1:45" x14ac:dyDescent="0.25">
      <c r="A111" s="748">
        <v>54</v>
      </c>
      <c r="B111" s="749" t="s">
        <v>455</v>
      </c>
      <c r="C111" s="749" t="str">
        <f t="shared" si="11"/>
        <v>/</v>
      </c>
      <c r="D111" s="749" t="s">
        <v>456</v>
      </c>
      <c r="E111" s="748"/>
      <c r="F111" s="749"/>
      <c r="G111" s="749" t="str">
        <f t="shared" si="12"/>
        <v/>
      </c>
      <c r="H111" s="749"/>
      <c r="I111" s="748"/>
      <c r="J111" s="749"/>
      <c r="K111" s="749" t="str">
        <f t="shared" si="13"/>
        <v/>
      </c>
      <c r="L111" s="749"/>
      <c r="M111" s="748"/>
      <c r="N111" s="749"/>
      <c r="O111" s="749" t="str">
        <f t="shared" si="14"/>
        <v/>
      </c>
      <c r="P111" s="749"/>
      <c r="Q111" s="748"/>
      <c r="R111" s="749"/>
      <c r="S111" s="749" t="str">
        <f t="shared" si="15"/>
        <v/>
      </c>
      <c r="T111" s="749"/>
      <c r="U111" s="748"/>
      <c r="V111" s="749"/>
      <c r="W111" s="749" t="str">
        <f t="shared" si="16"/>
        <v/>
      </c>
      <c r="X111" s="749"/>
      <c r="Y111" s="748"/>
      <c r="Z111" s="749"/>
      <c r="AA111" s="749" t="str">
        <f t="shared" si="17"/>
        <v/>
      </c>
      <c r="AB111" s="749"/>
      <c r="AC111" s="748"/>
      <c r="AD111" s="749"/>
      <c r="AE111" s="749" t="str">
        <f t="shared" si="18"/>
        <v/>
      </c>
      <c r="AF111" s="749"/>
      <c r="AG111" s="748"/>
      <c r="AH111" s="749"/>
      <c r="AI111" s="749" t="str">
        <f t="shared" si="19"/>
        <v/>
      </c>
      <c r="AJ111" s="749"/>
      <c r="AK111" s="748"/>
      <c r="AL111" s="749"/>
      <c r="AM111" s="749" t="str">
        <f t="shared" si="20"/>
        <v/>
      </c>
      <c r="AN111" s="749"/>
      <c r="AO111" s="748"/>
      <c r="AP111" s="749"/>
      <c r="AQ111" s="749" t="str">
        <f t="shared" si="21"/>
        <v/>
      </c>
      <c r="AR111" s="750"/>
      <c r="AS111" s="751"/>
    </row>
    <row r="112" spans="1:45" x14ac:dyDescent="0.25">
      <c r="A112" s="748"/>
      <c r="B112" s="749"/>
      <c r="C112" s="749" t="str">
        <f t="shared" si="11"/>
        <v/>
      </c>
      <c r="D112" s="749"/>
      <c r="E112" s="748"/>
      <c r="F112" s="749"/>
      <c r="G112" s="749" t="str">
        <f t="shared" si="12"/>
        <v/>
      </c>
      <c r="H112" s="749"/>
      <c r="I112" s="748">
        <v>14</v>
      </c>
      <c r="J112" s="749" t="s">
        <v>457</v>
      </c>
      <c r="K112" s="749" t="str">
        <f t="shared" si="13"/>
        <v>/</v>
      </c>
      <c r="L112" s="749" t="s">
        <v>458</v>
      </c>
      <c r="M112" s="748"/>
      <c r="N112" s="749"/>
      <c r="O112" s="749" t="str">
        <f t="shared" si="14"/>
        <v/>
      </c>
      <c r="P112" s="749"/>
      <c r="Q112" s="748"/>
      <c r="R112" s="749"/>
      <c r="S112" s="749" t="str">
        <f t="shared" si="15"/>
        <v/>
      </c>
      <c r="T112" s="749"/>
      <c r="U112" s="748"/>
      <c r="V112" s="749"/>
      <c r="W112" s="749" t="str">
        <f t="shared" si="16"/>
        <v/>
      </c>
      <c r="X112" s="749"/>
      <c r="Y112" s="748"/>
      <c r="Z112" s="749"/>
      <c r="AA112" s="749" t="str">
        <f t="shared" si="17"/>
        <v/>
      </c>
      <c r="AB112" s="749"/>
      <c r="AC112" s="748"/>
      <c r="AD112" s="749"/>
      <c r="AE112" s="749" t="str">
        <f t="shared" si="18"/>
        <v/>
      </c>
      <c r="AF112" s="749"/>
      <c r="AG112" s="748">
        <v>2</v>
      </c>
      <c r="AH112" s="749" t="s">
        <v>457</v>
      </c>
      <c r="AI112" s="749" t="str">
        <f t="shared" si="19"/>
        <v>/</v>
      </c>
      <c r="AJ112" s="749" t="s">
        <v>458</v>
      </c>
      <c r="AK112" s="748"/>
      <c r="AL112" s="749"/>
      <c r="AM112" s="749" t="str">
        <f t="shared" si="20"/>
        <v/>
      </c>
      <c r="AN112" s="749"/>
      <c r="AO112" s="748"/>
      <c r="AP112" s="749"/>
      <c r="AQ112" s="749" t="str">
        <f t="shared" si="21"/>
        <v/>
      </c>
      <c r="AR112" s="750"/>
      <c r="AS112" s="751"/>
    </row>
    <row r="113" spans="1:45" x14ac:dyDescent="0.25">
      <c r="A113" s="748">
        <v>55</v>
      </c>
      <c r="B113" s="749" t="s">
        <v>459</v>
      </c>
      <c r="C113" s="749" t="str">
        <f t="shared" si="11"/>
        <v>/</v>
      </c>
      <c r="D113" s="749" t="s">
        <v>460</v>
      </c>
      <c r="E113" s="748"/>
      <c r="F113" s="749"/>
      <c r="G113" s="749" t="str">
        <f t="shared" si="12"/>
        <v/>
      </c>
      <c r="H113" s="749"/>
      <c r="I113" s="748"/>
      <c r="J113" s="749"/>
      <c r="K113" s="749" t="str">
        <f t="shared" si="13"/>
        <v/>
      </c>
      <c r="L113" s="749"/>
      <c r="M113" s="748"/>
      <c r="N113" s="749"/>
      <c r="O113" s="749" t="str">
        <f t="shared" si="14"/>
        <v/>
      </c>
      <c r="P113" s="749"/>
      <c r="Q113" s="748"/>
      <c r="R113" s="749"/>
      <c r="S113" s="749" t="str">
        <f t="shared" si="15"/>
        <v/>
      </c>
      <c r="T113" s="749"/>
      <c r="U113" s="748"/>
      <c r="V113" s="749"/>
      <c r="W113" s="749" t="str">
        <f t="shared" si="16"/>
        <v/>
      </c>
      <c r="X113" s="749"/>
      <c r="Y113" s="748"/>
      <c r="Z113" s="749"/>
      <c r="AA113" s="749" t="str">
        <f t="shared" si="17"/>
        <v/>
      </c>
      <c r="AB113" s="749"/>
      <c r="AC113" s="748"/>
      <c r="AD113" s="749"/>
      <c r="AE113" s="749" t="str">
        <f t="shared" si="18"/>
        <v/>
      </c>
      <c r="AF113" s="749"/>
      <c r="AG113" s="748"/>
      <c r="AH113" s="749"/>
      <c r="AI113" s="749" t="str">
        <f t="shared" si="19"/>
        <v/>
      </c>
      <c r="AJ113" s="749"/>
      <c r="AK113" s="748"/>
      <c r="AL113" s="749"/>
      <c r="AM113" s="749" t="str">
        <f t="shared" si="20"/>
        <v/>
      </c>
      <c r="AN113" s="749"/>
      <c r="AO113" s="748"/>
      <c r="AP113" s="749"/>
      <c r="AQ113" s="749" t="str">
        <f t="shared" si="21"/>
        <v/>
      </c>
      <c r="AR113" s="750"/>
      <c r="AS113" s="751"/>
    </row>
    <row r="114" spans="1:45" x14ac:dyDescent="0.25">
      <c r="A114" s="748"/>
      <c r="B114" s="749"/>
      <c r="C114" s="749" t="str">
        <f t="shared" si="11"/>
        <v/>
      </c>
      <c r="D114" s="749"/>
      <c r="E114" s="748">
        <v>28</v>
      </c>
      <c r="F114" s="749" t="s">
        <v>461</v>
      </c>
      <c r="G114" s="749" t="str">
        <f t="shared" si="12"/>
        <v>/</v>
      </c>
      <c r="H114" s="749" t="s">
        <v>462</v>
      </c>
      <c r="I114" s="748"/>
      <c r="J114" s="749"/>
      <c r="K114" s="749" t="str">
        <f t="shared" si="13"/>
        <v/>
      </c>
      <c r="L114" s="749"/>
      <c r="M114" s="748"/>
      <c r="N114" s="749"/>
      <c r="O114" s="749" t="str">
        <f t="shared" si="14"/>
        <v/>
      </c>
      <c r="P114" s="749"/>
      <c r="Q114" s="748"/>
      <c r="R114" s="749"/>
      <c r="S114" s="749" t="str">
        <f t="shared" si="15"/>
        <v/>
      </c>
      <c r="T114" s="749"/>
      <c r="U114" s="748"/>
      <c r="V114" s="749"/>
      <c r="W114" s="749" t="str">
        <f t="shared" si="16"/>
        <v/>
      </c>
      <c r="X114" s="749"/>
      <c r="Y114" s="748"/>
      <c r="Z114" s="749"/>
      <c r="AA114" s="749" t="str">
        <f t="shared" si="17"/>
        <v/>
      </c>
      <c r="AB114" s="749"/>
      <c r="AC114" s="748"/>
      <c r="AD114" s="749"/>
      <c r="AE114" s="749" t="str">
        <f t="shared" si="18"/>
        <v/>
      </c>
      <c r="AF114" s="749"/>
      <c r="AG114" s="748"/>
      <c r="AH114" s="749"/>
      <c r="AI114" s="749" t="str">
        <f t="shared" si="19"/>
        <v/>
      </c>
      <c r="AJ114" s="749"/>
      <c r="AK114" s="748"/>
      <c r="AL114" s="749"/>
      <c r="AM114" s="749" t="str">
        <f t="shared" si="20"/>
        <v/>
      </c>
      <c r="AN114" s="749"/>
      <c r="AO114" s="748"/>
      <c r="AP114" s="749"/>
      <c r="AQ114" s="749" t="str">
        <f t="shared" si="21"/>
        <v/>
      </c>
      <c r="AR114" s="750"/>
      <c r="AS114" s="751"/>
    </row>
    <row r="115" spans="1:45" x14ac:dyDescent="0.25">
      <c r="A115" s="748">
        <v>56</v>
      </c>
      <c r="B115" s="749" t="s">
        <v>463</v>
      </c>
      <c r="C115" s="749" t="str">
        <f t="shared" si="11"/>
        <v>/</v>
      </c>
      <c r="D115" s="749" t="s">
        <v>464</v>
      </c>
      <c r="E115" s="748"/>
      <c r="F115" s="749"/>
      <c r="G115" s="749" t="str">
        <f t="shared" si="12"/>
        <v/>
      </c>
      <c r="H115" s="749"/>
      <c r="I115" s="748"/>
      <c r="J115" s="749"/>
      <c r="K115" s="749" t="str">
        <f t="shared" si="13"/>
        <v/>
      </c>
      <c r="L115" s="749"/>
      <c r="M115" s="748"/>
      <c r="N115" s="749"/>
      <c r="O115" s="749" t="str">
        <f t="shared" si="14"/>
        <v/>
      </c>
      <c r="P115" s="749"/>
      <c r="Q115" s="748"/>
      <c r="R115" s="749"/>
      <c r="S115" s="749" t="str">
        <f t="shared" si="15"/>
        <v/>
      </c>
      <c r="T115" s="749"/>
      <c r="U115" s="748"/>
      <c r="V115" s="749"/>
      <c r="W115" s="749" t="str">
        <f t="shared" si="16"/>
        <v/>
      </c>
      <c r="X115" s="749"/>
      <c r="Y115" s="748"/>
      <c r="Z115" s="749"/>
      <c r="AA115" s="749" t="str">
        <f t="shared" si="17"/>
        <v/>
      </c>
      <c r="AB115" s="749"/>
      <c r="AC115" s="748"/>
      <c r="AD115" s="749"/>
      <c r="AE115" s="749" t="str">
        <f t="shared" si="18"/>
        <v/>
      </c>
      <c r="AF115" s="749"/>
      <c r="AG115" s="748"/>
      <c r="AH115" s="749"/>
      <c r="AI115" s="749" t="str">
        <f t="shared" si="19"/>
        <v/>
      </c>
      <c r="AJ115" s="749"/>
      <c r="AK115" s="748"/>
      <c r="AL115" s="749"/>
      <c r="AM115" s="749" t="str">
        <f t="shared" si="20"/>
        <v/>
      </c>
      <c r="AN115" s="749"/>
      <c r="AO115" s="748"/>
      <c r="AP115" s="749"/>
      <c r="AQ115" s="749" t="str">
        <f t="shared" si="21"/>
        <v/>
      </c>
      <c r="AR115" s="750"/>
      <c r="AS115" s="751"/>
    </row>
    <row r="116" spans="1:45" x14ac:dyDescent="0.25">
      <c r="A116" s="748"/>
      <c r="B116" s="749"/>
      <c r="C116" s="749" t="str">
        <f t="shared" si="11"/>
        <v/>
      </c>
      <c r="D116" s="749"/>
      <c r="E116" s="748"/>
      <c r="F116" s="749"/>
      <c r="G116" s="749" t="str">
        <f t="shared" si="12"/>
        <v/>
      </c>
      <c r="H116" s="749"/>
      <c r="I116" s="748"/>
      <c r="J116" s="749"/>
      <c r="K116" s="749" t="str">
        <f t="shared" si="13"/>
        <v/>
      </c>
      <c r="L116" s="749"/>
      <c r="M116" s="748"/>
      <c r="N116" s="749"/>
      <c r="O116" s="749" t="str">
        <f t="shared" si="14"/>
        <v/>
      </c>
      <c r="P116" s="749"/>
      <c r="Q116" s="748"/>
      <c r="R116" s="749"/>
      <c r="S116" s="749" t="str">
        <f t="shared" si="15"/>
        <v/>
      </c>
      <c r="T116" s="749"/>
      <c r="U116" s="748"/>
      <c r="V116" s="749"/>
      <c r="W116" s="749" t="str">
        <f t="shared" si="16"/>
        <v/>
      </c>
      <c r="X116" s="749"/>
      <c r="Y116" s="748"/>
      <c r="Z116" s="749"/>
      <c r="AA116" s="749" t="str">
        <f t="shared" si="17"/>
        <v/>
      </c>
      <c r="AB116" s="749"/>
      <c r="AC116" s="748"/>
      <c r="AD116" s="749"/>
      <c r="AE116" s="749" t="str">
        <f t="shared" si="18"/>
        <v/>
      </c>
      <c r="AF116" s="749"/>
      <c r="AG116" s="748"/>
      <c r="AH116" s="749"/>
      <c r="AI116" s="749" t="str">
        <f t="shared" si="19"/>
        <v/>
      </c>
      <c r="AJ116" s="749"/>
      <c r="AK116" s="748"/>
      <c r="AL116" s="749"/>
      <c r="AM116" s="749" t="str">
        <f t="shared" si="20"/>
        <v/>
      </c>
      <c r="AN116" s="749"/>
      <c r="AO116" s="748"/>
      <c r="AP116" s="749"/>
      <c r="AQ116" s="749" t="str">
        <f t="shared" si="21"/>
        <v/>
      </c>
      <c r="AR116" s="750"/>
      <c r="AS116" s="751"/>
    </row>
    <row r="117" spans="1:45" x14ac:dyDescent="0.25">
      <c r="A117" s="748">
        <v>57</v>
      </c>
      <c r="B117" s="749" t="s">
        <v>465</v>
      </c>
      <c r="C117" s="749" t="str">
        <f t="shared" si="11"/>
        <v>/</v>
      </c>
      <c r="D117" s="749" t="s">
        <v>466</v>
      </c>
      <c r="E117" s="748"/>
      <c r="F117" s="749"/>
      <c r="G117" s="749" t="str">
        <f t="shared" si="12"/>
        <v/>
      </c>
      <c r="H117" s="749"/>
      <c r="I117" s="748"/>
      <c r="J117" s="749"/>
      <c r="K117" s="749" t="str">
        <f t="shared" si="13"/>
        <v/>
      </c>
      <c r="L117" s="749"/>
      <c r="M117" s="748"/>
      <c r="N117" s="749"/>
      <c r="O117" s="749" t="str">
        <f t="shared" si="14"/>
        <v/>
      </c>
      <c r="P117" s="749"/>
      <c r="Q117" s="748"/>
      <c r="R117" s="749"/>
      <c r="S117" s="749" t="str">
        <f t="shared" si="15"/>
        <v/>
      </c>
      <c r="T117" s="749"/>
      <c r="U117" s="748"/>
      <c r="V117" s="749"/>
      <c r="W117" s="749" t="str">
        <f t="shared" si="16"/>
        <v/>
      </c>
      <c r="X117" s="749"/>
      <c r="Y117" s="748"/>
      <c r="Z117" s="749"/>
      <c r="AA117" s="749" t="str">
        <f t="shared" si="17"/>
        <v/>
      </c>
      <c r="AB117" s="749"/>
      <c r="AC117" s="748"/>
      <c r="AD117" s="749"/>
      <c r="AE117" s="749" t="str">
        <f t="shared" si="18"/>
        <v/>
      </c>
      <c r="AF117" s="749"/>
      <c r="AG117" s="748"/>
      <c r="AH117" s="749"/>
      <c r="AI117" s="749" t="str">
        <f t="shared" si="19"/>
        <v/>
      </c>
      <c r="AJ117" s="749"/>
      <c r="AK117" s="748">
        <v>2</v>
      </c>
      <c r="AL117" s="749" t="s">
        <v>467</v>
      </c>
      <c r="AM117" s="749" t="str">
        <f t="shared" si="20"/>
        <v>/</v>
      </c>
      <c r="AN117" s="749" t="s">
        <v>468</v>
      </c>
      <c r="AO117" s="748"/>
      <c r="AP117" s="749"/>
      <c r="AQ117" s="749" t="str">
        <f t="shared" si="21"/>
        <v/>
      </c>
      <c r="AR117" s="750"/>
      <c r="AS117" s="751"/>
    </row>
    <row r="118" spans="1:45" x14ac:dyDescent="0.25">
      <c r="A118" s="748"/>
      <c r="B118" s="749"/>
      <c r="C118" s="749" t="str">
        <f t="shared" si="11"/>
        <v/>
      </c>
      <c r="D118" s="749"/>
      <c r="E118" s="748">
        <v>29</v>
      </c>
      <c r="F118" s="749" t="s">
        <v>469</v>
      </c>
      <c r="G118" s="749" t="str">
        <f t="shared" si="12"/>
        <v>/</v>
      </c>
      <c r="H118" s="749" t="s">
        <v>470</v>
      </c>
      <c r="I118" s="748"/>
      <c r="J118" s="749"/>
      <c r="K118" s="749" t="str">
        <f t="shared" si="13"/>
        <v/>
      </c>
      <c r="L118" s="749"/>
      <c r="M118" s="748"/>
      <c r="N118" s="749"/>
      <c r="O118" s="749" t="str">
        <f t="shared" si="14"/>
        <v/>
      </c>
      <c r="P118" s="749"/>
      <c r="Q118" s="748"/>
      <c r="R118" s="749"/>
      <c r="S118" s="749" t="str">
        <f t="shared" si="15"/>
        <v/>
      </c>
      <c r="T118" s="749"/>
      <c r="U118" s="748"/>
      <c r="V118" s="749"/>
      <c r="W118" s="749" t="str">
        <f t="shared" si="16"/>
        <v/>
      </c>
      <c r="X118" s="749"/>
      <c r="Y118" s="748"/>
      <c r="Z118" s="749"/>
      <c r="AA118" s="749" t="str">
        <f t="shared" si="17"/>
        <v/>
      </c>
      <c r="AB118" s="749"/>
      <c r="AC118" s="748"/>
      <c r="AD118" s="749"/>
      <c r="AE118" s="749" t="str">
        <f t="shared" si="18"/>
        <v/>
      </c>
      <c r="AF118" s="749"/>
      <c r="AG118" s="748"/>
      <c r="AH118" s="749"/>
      <c r="AI118" s="749" t="str">
        <f t="shared" si="19"/>
        <v/>
      </c>
      <c r="AJ118" s="749"/>
      <c r="AK118" s="748"/>
      <c r="AL118" s="749"/>
      <c r="AM118" s="749" t="str">
        <f t="shared" si="20"/>
        <v/>
      </c>
      <c r="AN118" s="749"/>
      <c r="AO118" s="748"/>
      <c r="AP118" s="749"/>
      <c r="AQ118" s="749" t="str">
        <f t="shared" si="21"/>
        <v/>
      </c>
      <c r="AR118" s="750"/>
      <c r="AS118" s="751"/>
    </row>
    <row r="119" spans="1:45" x14ac:dyDescent="0.25">
      <c r="A119" s="748">
        <v>58</v>
      </c>
      <c r="B119" s="749" t="s">
        <v>471</v>
      </c>
      <c r="C119" s="749" t="str">
        <f t="shared" si="11"/>
        <v>/</v>
      </c>
      <c r="D119" s="749" t="s">
        <v>472</v>
      </c>
      <c r="E119" s="748"/>
      <c r="F119" s="749"/>
      <c r="G119" s="749" t="str">
        <f t="shared" si="12"/>
        <v/>
      </c>
      <c r="H119" s="749"/>
      <c r="I119" s="748"/>
      <c r="J119" s="749"/>
      <c r="K119" s="749" t="str">
        <f t="shared" si="13"/>
        <v/>
      </c>
      <c r="L119" s="749"/>
      <c r="M119" s="748"/>
      <c r="N119" s="749"/>
      <c r="O119" s="749" t="str">
        <f t="shared" si="14"/>
        <v/>
      </c>
      <c r="P119" s="749"/>
      <c r="Q119" s="748"/>
      <c r="R119" s="749"/>
      <c r="S119" s="749" t="str">
        <f t="shared" si="15"/>
        <v/>
      </c>
      <c r="T119" s="749"/>
      <c r="U119" s="748"/>
      <c r="V119" s="749"/>
      <c r="W119" s="749" t="str">
        <f t="shared" si="16"/>
        <v/>
      </c>
      <c r="X119" s="749"/>
      <c r="Y119" s="748"/>
      <c r="Z119" s="749"/>
      <c r="AA119" s="749" t="str">
        <f t="shared" si="17"/>
        <v/>
      </c>
      <c r="AB119" s="749"/>
      <c r="AC119" s="748"/>
      <c r="AD119" s="749"/>
      <c r="AE119" s="749" t="str">
        <f t="shared" si="18"/>
        <v/>
      </c>
      <c r="AF119" s="749"/>
      <c r="AG119" s="748"/>
      <c r="AH119" s="749"/>
      <c r="AI119" s="749" t="str">
        <f t="shared" si="19"/>
        <v/>
      </c>
      <c r="AJ119" s="749"/>
      <c r="AK119" s="748"/>
      <c r="AL119" s="749"/>
      <c r="AM119" s="749" t="str">
        <f t="shared" si="20"/>
        <v/>
      </c>
      <c r="AN119" s="749"/>
      <c r="AO119" s="748"/>
      <c r="AP119" s="749"/>
      <c r="AQ119" s="749" t="str">
        <f t="shared" si="21"/>
        <v/>
      </c>
      <c r="AR119" s="750"/>
      <c r="AS119" s="751"/>
    </row>
    <row r="120" spans="1:45" x14ac:dyDescent="0.25">
      <c r="A120" s="748"/>
      <c r="B120" s="749"/>
      <c r="C120" s="749" t="str">
        <f t="shared" si="11"/>
        <v/>
      </c>
      <c r="D120" s="749"/>
      <c r="E120" s="748"/>
      <c r="F120" s="749"/>
      <c r="G120" s="749" t="str">
        <f t="shared" si="12"/>
        <v/>
      </c>
      <c r="H120" s="749"/>
      <c r="I120" s="748">
        <v>15</v>
      </c>
      <c r="J120" s="749" t="s">
        <v>473</v>
      </c>
      <c r="K120" s="749" t="str">
        <f t="shared" si="13"/>
        <v>/</v>
      </c>
      <c r="L120" s="749" t="s">
        <v>474</v>
      </c>
      <c r="M120" s="748"/>
      <c r="N120" s="749"/>
      <c r="O120" s="749" t="str">
        <f t="shared" si="14"/>
        <v/>
      </c>
      <c r="P120" s="749"/>
      <c r="Q120" s="748">
        <v>5</v>
      </c>
      <c r="R120" s="749" t="s">
        <v>473</v>
      </c>
      <c r="S120" s="749" t="str">
        <f t="shared" si="15"/>
        <v>/</v>
      </c>
      <c r="T120" s="749" t="s">
        <v>474</v>
      </c>
      <c r="U120" s="748"/>
      <c r="V120" s="749"/>
      <c r="W120" s="749" t="str">
        <f t="shared" si="16"/>
        <v/>
      </c>
      <c r="X120" s="749"/>
      <c r="Y120" s="748"/>
      <c r="Z120" s="749"/>
      <c r="AA120" s="749" t="str">
        <f t="shared" si="17"/>
        <v/>
      </c>
      <c r="AB120" s="749"/>
      <c r="AC120" s="748"/>
      <c r="AD120" s="749"/>
      <c r="AE120" s="749" t="str">
        <f t="shared" si="18"/>
        <v/>
      </c>
      <c r="AF120" s="749"/>
      <c r="AG120" s="748"/>
      <c r="AH120" s="749"/>
      <c r="AI120" s="749" t="str">
        <f t="shared" si="19"/>
        <v/>
      </c>
      <c r="AJ120" s="749"/>
      <c r="AK120" s="748"/>
      <c r="AL120" s="749"/>
      <c r="AM120" s="749" t="str">
        <f t="shared" si="20"/>
        <v/>
      </c>
      <c r="AN120" s="749"/>
      <c r="AO120" s="748">
        <v>2</v>
      </c>
      <c r="AP120" s="749" t="s">
        <v>473</v>
      </c>
      <c r="AQ120" s="749" t="str">
        <f t="shared" si="21"/>
        <v>/</v>
      </c>
      <c r="AR120" s="750" t="s">
        <v>474</v>
      </c>
      <c r="AS120" s="751"/>
    </row>
    <row r="121" spans="1:45" x14ac:dyDescent="0.25">
      <c r="A121" s="748">
        <v>59</v>
      </c>
      <c r="B121" s="749" t="s">
        <v>475</v>
      </c>
      <c r="C121" s="749" t="str">
        <f t="shared" si="11"/>
        <v>/</v>
      </c>
      <c r="D121" s="749" t="s">
        <v>476</v>
      </c>
      <c r="E121" s="748"/>
      <c r="F121" s="749"/>
      <c r="G121" s="749" t="str">
        <f t="shared" si="12"/>
        <v/>
      </c>
      <c r="H121" s="749"/>
      <c r="I121" s="748"/>
      <c r="J121" s="749"/>
      <c r="K121" s="749" t="str">
        <f t="shared" si="13"/>
        <v/>
      </c>
      <c r="L121" s="749"/>
      <c r="M121" s="748"/>
      <c r="N121" s="749"/>
      <c r="O121" s="749" t="str">
        <f t="shared" si="14"/>
        <v/>
      </c>
      <c r="P121" s="749"/>
      <c r="Q121" s="748"/>
      <c r="R121" s="749"/>
      <c r="S121" s="749" t="str">
        <f t="shared" si="15"/>
        <v/>
      </c>
      <c r="T121" s="749"/>
      <c r="U121" s="748"/>
      <c r="V121" s="749"/>
      <c r="W121" s="749" t="str">
        <f t="shared" si="16"/>
        <v/>
      </c>
      <c r="X121" s="749"/>
      <c r="Y121" s="748"/>
      <c r="Z121" s="749"/>
      <c r="AA121" s="749" t="str">
        <f t="shared" si="17"/>
        <v/>
      </c>
      <c r="AB121" s="749"/>
      <c r="AC121" s="748"/>
      <c r="AD121" s="749"/>
      <c r="AE121" s="749" t="str">
        <f t="shared" si="18"/>
        <v/>
      </c>
      <c r="AF121" s="749"/>
      <c r="AG121" s="748"/>
      <c r="AH121" s="749"/>
      <c r="AI121" s="749" t="str">
        <f t="shared" si="19"/>
        <v/>
      </c>
      <c r="AJ121" s="749"/>
      <c r="AK121" s="748"/>
      <c r="AL121" s="749"/>
      <c r="AM121" s="749" t="str">
        <f t="shared" si="20"/>
        <v/>
      </c>
      <c r="AN121" s="749"/>
      <c r="AO121" s="748"/>
      <c r="AP121" s="749"/>
      <c r="AQ121" s="749" t="str">
        <f t="shared" si="21"/>
        <v/>
      </c>
      <c r="AR121" s="750"/>
      <c r="AS121" s="751"/>
    </row>
    <row r="122" spans="1:45" x14ac:dyDescent="0.25">
      <c r="A122" s="748"/>
      <c r="B122" s="749"/>
      <c r="C122" s="749" t="str">
        <f t="shared" si="11"/>
        <v/>
      </c>
      <c r="D122" s="749"/>
      <c r="E122" s="748">
        <v>30</v>
      </c>
      <c r="F122" s="749" t="s">
        <v>477</v>
      </c>
      <c r="G122" s="749" t="str">
        <f t="shared" si="12"/>
        <v>/</v>
      </c>
      <c r="H122" s="749" t="s">
        <v>478</v>
      </c>
      <c r="I122" s="748"/>
      <c r="J122" s="749"/>
      <c r="K122" s="749" t="str">
        <f t="shared" si="13"/>
        <v/>
      </c>
      <c r="L122" s="749"/>
      <c r="M122" s="748"/>
      <c r="N122" s="749"/>
      <c r="O122" s="749" t="str">
        <f t="shared" si="14"/>
        <v/>
      </c>
      <c r="P122" s="749"/>
      <c r="Q122" s="748"/>
      <c r="R122" s="749"/>
      <c r="S122" s="749" t="str">
        <f t="shared" si="15"/>
        <v/>
      </c>
      <c r="T122" s="749"/>
      <c r="U122" s="748"/>
      <c r="V122" s="749"/>
      <c r="W122" s="749" t="str">
        <f t="shared" si="16"/>
        <v/>
      </c>
      <c r="X122" s="749"/>
      <c r="Y122" s="748"/>
      <c r="Z122" s="749"/>
      <c r="AA122" s="749" t="str">
        <f t="shared" si="17"/>
        <v/>
      </c>
      <c r="AB122" s="749"/>
      <c r="AC122" s="748"/>
      <c r="AD122" s="749"/>
      <c r="AE122" s="749" t="str">
        <f t="shared" si="18"/>
        <v/>
      </c>
      <c r="AF122" s="749"/>
      <c r="AG122" s="748"/>
      <c r="AH122" s="749"/>
      <c r="AI122" s="749" t="str">
        <f t="shared" si="19"/>
        <v/>
      </c>
      <c r="AJ122" s="749"/>
      <c r="AK122" s="748"/>
      <c r="AL122" s="749"/>
      <c r="AM122" s="749" t="str">
        <f t="shared" si="20"/>
        <v/>
      </c>
      <c r="AN122" s="749"/>
      <c r="AO122" s="748"/>
      <c r="AP122" s="749"/>
      <c r="AQ122" s="749" t="str">
        <f t="shared" si="21"/>
        <v/>
      </c>
      <c r="AR122" s="750"/>
      <c r="AS122" s="751"/>
    </row>
    <row r="123" spans="1:45" x14ac:dyDescent="0.25">
      <c r="A123" s="748">
        <v>60</v>
      </c>
      <c r="B123" s="749" t="s">
        <v>479</v>
      </c>
      <c r="C123" s="749" t="str">
        <f t="shared" si="11"/>
        <v>/</v>
      </c>
      <c r="D123" s="749" t="s">
        <v>480</v>
      </c>
      <c r="E123" s="748"/>
      <c r="F123" s="749"/>
      <c r="G123" s="749" t="str">
        <f t="shared" si="12"/>
        <v/>
      </c>
      <c r="H123" s="749"/>
      <c r="I123" s="748"/>
      <c r="J123" s="749"/>
      <c r="K123" s="749" t="str">
        <f t="shared" si="13"/>
        <v/>
      </c>
      <c r="L123" s="749"/>
      <c r="M123" s="748"/>
      <c r="N123" s="749"/>
      <c r="O123" s="749" t="str">
        <f t="shared" si="14"/>
        <v/>
      </c>
      <c r="P123" s="749"/>
      <c r="Q123" s="748"/>
      <c r="R123" s="749"/>
      <c r="S123" s="749" t="str">
        <f t="shared" si="15"/>
        <v/>
      </c>
      <c r="T123" s="749"/>
      <c r="U123" s="748"/>
      <c r="V123" s="749"/>
      <c r="W123" s="749" t="str">
        <f t="shared" si="16"/>
        <v/>
      </c>
      <c r="X123" s="749"/>
      <c r="Y123" s="748"/>
      <c r="Z123" s="749"/>
      <c r="AA123" s="749" t="str">
        <f t="shared" si="17"/>
        <v/>
      </c>
      <c r="AB123" s="749"/>
      <c r="AC123" s="748"/>
      <c r="AD123" s="749"/>
      <c r="AE123" s="749" t="str">
        <f t="shared" si="18"/>
        <v/>
      </c>
      <c r="AF123" s="749"/>
      <c r="AG123" s="748"/>
      <c r="AH123" s="749"/>
      <c r="AI123" s="749" t="str">
        <f t="shared" si="19"/>
        <v/>
      </c>
      <c r="AJ123" s="749"/>
      <c r="AK123" s="748"/>
      <c r="AL123" s="749"/>
      <c r="AM123" s="749" t="str">
        <f t="shared" si="20"/>
        <v/>
      </c>
      <c r="AN123" s="749"/>
      <c r="AO123" s="748"/>
      <c r="AP123" s="749"/>
      <c r="AQ123" s="749" t="str">
        <f t="shared" si="21"/>
        <v/>
      </c>
      <c r="AR123" s="750"/>
      <c r="AS123" s="751"/>
    </row>
    <row r="124" spans="1:45" x14ac:dyDescent="0.25">
      <c r="A124" s="748"/>
      <c r="B124" s="749"/>
      <c r="C124" s="749" t="str">
        <f t="shared" si="11"/>
        <v/>
      </c>
      <c r="D124" s="749"/>
      <c r="E124" s="748"/>
      <c r="F124" s="749"/>
      <c r="G124" s="749" t="str">
        <f t="shared" si="12"/>
        <v/>
      </c>
      <c r="H124" s="749"/>
      <c r="I124" s="748"/>
      <c r="J124" s="749"/>
      <c r="K124" s="749" t="str">
        <f t="shared" si="13"/>
        <v/>
      </c>
      <c r="L124" s="749"/>
      <c r="M124" s="748">
        <v>8</v>
      </c>
      <c r="N124" s="749" t="s">
        <v>481</v>
      </c>
      <c r="O124" s="749" t="str">
        <f t="shared" si="14"/>
        <v>/</v>
      </c>
      <c r="P124" s="749" t="s">
        <v>482</v>
      </c>
      <c r="Q124" s="748"/>
      <c r="R124" s="749"/>
      <c r="S124" s="749" t="str">
        <f t="shared" si="15"/>
        <v/>
      </c>
      <c r="T124" s="749"/>
      <c r="U124" s="748"/>
      <c r="V124" s="749"/>
      <c r="W124" s="749" t="str">
        <f t="shared" si="16"/>
        <v/>
      </c>
      <c r="X124" s="749"/>
      <c r="Y124" s="748"/>
      <c r="Z124" s="749"/>
      <c r="AA124" s="749" t="str">
        <f t="shared" si="17"/>
        <v/>
      </c>
      <c r="AB124" s="749"/>
      <c r="AC124" s="748"/>
      <c r="AD124" s="749"/>
      <c r="AE124" s="749" t="str">
        <f t="shared" si="18"/>
        <v/>
      </c>
      <c r="AF124" s="749"/>
      <c r="AG124" s="748"/>
      <c r="AH124" s="749"/>
      <c r="AI124" s="749" t="str">
        <f t="shared" si="19"/>
        <v/>
      </c>
      <c r="AJ124" s="749"/>
      <c r="AK124" s="748"/>
      <c r="AL124" s="749"/>
      <c r="AM124" s="749" t="str">
        <f t="shared" si="20"/>
        <v/>
      </c>
      <c r="AN124" s="749"/>
      <c r="AO124" s="748"/>
      <c r="AP124" s="749"/>
      <c r="AQ124" s="749" t="str">
        <f t="shared" si="21"/>
        <v/>
      </c>
      <c r="AR124" s="750"/>
      <c r="AS124" s="751"/>
    </row>
    <row r="125" spans="1:45" x14ac:dyDescent="0.25">
      <c r="A125" s="748">
        <v>61</v>
      </c>
      <c r="B125" s="749" t="s">
        <v>483</v>
      </c>
      <c r="C125" s="749" t="str">
        <f t="shared" si="11"/>
        <v>/</v>
      </c>
      <c r="D125" s="749" t="s">
        <v>484</v>
      </c>
      <c r="E125" s="748"/>
      <c r="F125" s="749"/>
      <c r="G125" s="749" t="str">
        <f t="shared" si="12"/>
        <v/>
      </c>
      <c r="H125" s="749"/>
      <c r="I125" s="748"/>
      <c r="J125" s="749"/>
      <c r="K125" s="749" t="str">
        <f t="shared" si="13"/>
        <v/>
      </c>
      <c r="L125" s="749"/>
      <c r="M125" s="748"/>
      <c r="N125" s="749"/>
      <c r="O125" s="749" t="str">
        <f t="shared" si="14"/>
        <v/>
      </c>
      <c r="P125" s="749"/>
      <c r="Q125" s="748"/>
      <c r="R125" s="749"/>
      <c r="S125" s="749" t="str">
        <f t="shared" si="15"/>
        <v/>
      </c>
      <c r="T125" s="749"/>
      <c r="U125" s="748"/>
      <c r="V125" s="749"/>
      <c r="W125" s="749" t="str">
        <f t="shared" si="16"/>
        <v/>
      </c>
      <c r="X125" s="749"/>
      <c r="Y125" s="748"/>
      <c r="Z125" s="749"/>
      <c r="AA125" s="749" t="str">
        <f t="shared" si="17"/>
        <v/>
      </c>
      <c r="AB125" s="749"/>
      <c r="AC125" s="748"/>
      <c r="AD125" s="749"/>
      <c r="AE125" s="749" t="str">
        <f t="shared" si="18"/>
        <v/>
      </c>
      <c r="AF125" s="749"/>
      <c r="AG125" s="748"/>
      <c r="AH125" s="749"/>
      <c r="AI125" s="749" t="str">
        <f t="shared" si="19"/>
        <v/>
      </c>
      <c r="AJ125" s="749"/>
      <c r="AK125" s="748"/>
      <c r="AL125" s="749"/>
      <c r="AM125" s="749" t="str">
        <f t="shared" si="20"/>
        <v/>
      </c>
      <c r="AN125" s="749"/>
      <c r="AO125" s="748"/>
      <c r="AP125" s="749"/>
      <c r="AQ125" s="749" t="str">
        <f t="shared" si="21"/>
        <v/>
      </c>
      <c r="AR125" s="750"/>
      <c r="AS125" s="751"/>
    </row>
    <row r="126" spans="1:45" x14ac:dyDescent="0.25">
      <c r="A126" s="748"/>
      <c r="B126" s="749"/>
      <c r="C126" s="749" t="str">
        <f t="shared" si="11"/>
        <v/>
      </c>
      <c r="D126" s="749"/>
      <c r="E126" s="748">
        <v>31</v>
      </c>
      <c r="F126" s="749" t="s">
        <v>485</v>
      </c>
      <c r="G126" s="749" t="str">
        <f t="shared" si="12"/>
        <v>/</v>
      </c>
      <c r="H126" s="749" t="s">
        <v>486</v>
      </c>
      <c r="I126" s="748"/>
      <c r="J126" s="749"/>
      <c r="K126" s="749" t="str">
        <f t="shared" si="13"/>
        <v/>
      </c>
      <c r="L126" s="749"/>
      <c r="M126" s="748"/>
      <c r="N126" s="749"/>
      <c r="O126" s="749" t="str">
        <f t="shared" si="14"/>
        <v/>
      </c>
      <c r="P126" s="749"/>
      <c r="Q126" s="748"/>
      <c r="R126" s="749"/>
      <c r="S126" s="749" t="str">
        <f t="shared" si="15"/>
        <v/>
      </c>
      <c r="T126" s="749"/>
      <c r="U126" s="748"/>
      <c r="V126" s="749"/>
      <c r="W126" s="749" t="str">
        <f t="shared" si="16"/>
        <v/>
      </c>
      <c r="X126" s="749"/>
      <c r="Y126" s="748"/>
      <c r="Z126" s="749"/>
      <c r="AA126" s="749" t="str">
        <f t="shared" si="17"/>
        <v/>
      </c>
      <c r="AB126" s="749"/>
      <c r="AC126" s="748"/>
      <c r="AD126" s="749"/>
      <c r="AE126" s="749" t="str">
        <f t="shared" si="18"/>
        <v/>
      </c>
      <c r="AF126" s="749"/>
      <c r="AG126" s="748"/>
      <c r="AH126" s="749"/>
      <c r="AI126" s="749" t="str">
        <f t="shared" si="19"/>
        <v/>
      </c>
      <c r="AJ126" s="749"/>
      <c r="AK126" s="748"/>
      <c r="AL126" s="749"/>
      <c r="AM126" s="749" t="str">
        <f t="shared" si="20"/>
        <v/>
      </c>
      <c r="AN126" s="749"/>
      <c r="AO126" s="748"/>
      <c r="AP126" s="749"/>
      <c r="AQ126" s="749" t="str">
        <f t="shared" si="21"/>
        <v/>
      </c>
      <c r="AR126" s="750"/>
      <c r="AS126" s="751"/>
    </row>
    <row r="127" spans="1:45" x14ac:dyDescent="0.25">
      <c r="A127" s="748">
        <v>62</v>
      </c>
      <c r="B127" s="749" t="s">
        <v>487</v>
      </c>
      <c r="C127" s="749" t="str">
        <f t="shared" si="11"/>
        <v>/</v>
      </c>
      <c r="D127" s="749" t="s">
        <v>488</v>
      </c>
      <c r="E127" s="748"/>
      <c r="F127" s="749"/>
      <c r="G127" s="749" t="str">
        <f t="shared" si="12"/>
        <v/>
      </c>
      <c r="H127" s="749"/>
      <c r="I127" s="748"/>
      <c r="J127" s="749"/>
      <c r="K127" s="749" t="str">
        <f t="shared" si="13"/>
        <v/>
      </c>
      <c r="L127" s="749"/>
      <c r="M127" s="748"/>
      <c r="N127" s="749"/>
      <c r="O127" s="749" t="str">
        <f t="shared" si="14"/>
        <v/>
      </c>
      <c r="P127" s="749"/>
      <c r="Q127" s="748"/>
      <c r="R127" s="749"/>
      <c r="S127" s="749" t="str">
        <f t="shared" si="15"/>
        <v/>
      </c>
      <c r="T127" s="749"/>
      <c r="U127" s="748"/>
      <c r="V127" s="749"/>
      <c r="W127" s="749" t="str">
        <f t="shared" si="16"/>
        <v/>
      </c>
      <c r="X127" s="749"/>
      <c r="Y127" s="748"/>
      <c r="Z127" s="749"/>
      <c r="AA127" s="749" t="str">
        <f t="shared" si="17"/>
        <v/>
      </c>
      <c r="AB127" s="749"/>
      <c r="AC127" s="748"/>
      <c r="AD127" s="749"/>
      <c r="AE127" s="749" t="str">
        <f t="shared" si="18"/>
        <v/>
      </c>
      <c r="AF127" s="749"/>
      <c r="AG127" s="748"/>
      <c r="AH127" s="749"/>
      <c r="AI127" s="749" t="str">
        <f t="shared" si="19"/>
        <v/>
      </c>
      <c r="AJ127" s="749"/>
      <c r="AK127" s="748"/>
      <c r="AL127" s="749"/>
      <c r="AM127" s="749" t="str">
        <f t="shared" si="20"/>
        <v/>
      </c>
      <c r="AN127" s="749"/>
      <c r="AO127" s="748"/>
      <c r="AP127" s="749"/>
      <c r="AQ127" s="749" t="str">
        <f t="shared" si="21"/>
        <v/>
      </c>
      <c r="AR127" s="750"/>
      <c r="AS127" s="751"/>
    </row>
    <row r="128" spans="1:45" x14ac:dyDescent="0.25">
      <c r="A128" s="748"/>
      <c r="B128" s="749"/>
      <c r="C128" s="749" t="str">
        <f t="shared" si="11"/>
        <v/>
      </c>
      <c r="D128" s="749"/>
      <c r="E128" s="748"/>
      <c r="F128" s="749"/>
      <c r="G128" s="749" t="str">
        <f t="shared" si="12"/>
        <v/>
      </c>
      <c r="H128" s="749"/>
      <c r="I128" s="748">
        <v>16</v>
      </c>
      <c r="J128" s="749" t="s">
        <v>489</v>
      </c>
      <c r="K128" s="749" t="str">
        <f t="shared" si="13"/>
        <v>/</v>
      </c>
      <c r="L128" s="749" t="s">
        <v>490</v>
      </c>
      <c r="M128" s="748"/>
      <c r="N128" s="749"/>
      <c r="O128" s="749" t="str">
        <f t="shared" si="14"/>
        <v/>
      </c>
      <c r="P128" s="749"/>
      <c r="Q128" s="748"/>
      <c r="R128" s="749"/>
      <c r="S128" s="749" t="str">
        <f t="shared" si="15"/>
        <v/>
      </c>
      <c r="T128" s="749"/>
      <c r="U128" s="748"/>
      <c r="V128" s="749"/>
      <c r="W128" s="749" t="str">
        <f t="shared" si="16"/>
        <v/>
      </c>
      <c r="X128" s="749"/>
      <c r="Y128" s="748"/>
      <c r="Z128" s="749"/>
      <c r="AA128" s="749" t="str">
        <f t="shared" si="17"/>
        <v/>
      </c>
      <c r="AB128" s="749"/>
      <c r="AC128" s="748"/>
      <c r="AD128" s="749"/>
      <c r="AE128" s="749" t="str">
        <f t="shared" si="18"/>
        <v/>
      </c>
      <c r="AF128" s="749"/>
      <c r="AG128" s="748"/>
      <c r="AH128" s="749"/>
      <c r="AI128" s="749" t="str">
        <f t="shared" si="19"/>
        <v/>
      </c>
      <c r="AJ128" s="749"/>
      <c r="AK128" s="748"/>
      <c r="AL128" s="749"/>
      <c r="AM128" s="749" t="str">
        <f t="shared" si="20"/>
        <v/>
      </c>
      <c r="AN128" s="749"/>
      <c r="AO128" s="748"/>
      <c r="AP128" s="749"/>
      <c r="AQ128" s="749" t="str">
        <f t="shared" si="21"/>
        <v/>
      </c>
      <c r="AR128" s="750"/>
      <c r="AS128" s="751"/>
    </row>
    <row r="129" spans="1:45" x14ac:dyDescent="0.25">
      <c r="A129" s="748">
        <v>63</v>
      </c>
      <c r="B129" s="749" t="s">
        <v>491</v>
      </c>
      <c r="C129" s="749" t="str">
        <f t="shared" si="11"/>
        <v>/</v>
      </c>
      <c r="D129" s="749" t="s">
        <v>492</v>
      </c>
      <c r="E129" s="748"/>
      <c r="F129" s="749"/>
      <c r="G129" s="749" t="str">
        <f t="shared" si="12"/>
        <v/>
      </c>
      <c r="H129" s="749"/>
      <c r="I129" s="748"/>
      <c r="J129" s="749"/>
      <c r="K129" s="749" t="str">
        <f t="shared" si="13"/>
        <v/>
      </c>
      <c r="L129" s="749"/>
      <c r="M129" s="748"/>
      <c r="N129" s="749"/>
      <c r="O129" s="749" t="str">
        <f t="shared" si="14"/>
        <v/>
      </c>
      <c r="P129" s="749"/>
      <c r="Q129" s="748"/>
      <c r="R129" s="749"/>
      <c r="S129" s="749" t="str">
        <f t="shared" si="15"/>
        <v/>
      </c>
      <c r="T129" s="749"/>
      <c r="U129" s="748"/>
      <c r="V129" s="749"/>
      <c r="W129" s="749" t="str">
        <f t="shared" si="16"/>
        <v/>
      </c>
      <c r="X129" s="749"/>
      <c r="Y129" s="748"/>
      <c r="Z129" s="749"/>
      <c r="AA129" s="749" t="str">
        <f t="shared" si="17"/>
        <v/>
      </c>
      <c r="AB129" s="749"/>
      <c r="AC129" s="748"/>
      <c r="AD129" s="749"/>
      <c r="AE129" s="749" t="str">
        <f t="shared" si="18"/>
        <v/>
      </c>
      <c r="AF129" s="749"/>
      <c r="AG129" s="748"/>
      <c r="AH129" s="749"/>
      <c r="AI129" s="749" t="str">
        <f t="shared" si="19"/>
        <v/>
      </c>
      <c r="AJ129" s="749"/>
      <c r="AK129" s="748"/>
      <c r="AL129" s="749"/>
      <c r="AM129" s="749" t="str">
        <f t="shared" si="20"/>
        <v/>
      </c>
      <c r="AN129" s="749"/>
      <c r="AO129" s="748"/>
      <c r="AP129" s="749"/>
      <c r="AQ129" s="749" t="str">
        <f t="shared" si="21"/>
        <v/>
      </c>
      <c r="AR129" s="750"/>
      <c r="AS129" s="751"/>
    </row>
    <row r="130" spans="1:45" x14ac:dyDescent="0.25">
      <c r="A130" s="748"/>
      <c r="B130" s="749"/>
      <c r="C130" s="749" t="str">
        <f t="shared" si="11"/>
        <v/>
      </c>
      <c r="D130" s="749"/>
      <c r="E130" s="748">
        <v>32</v>
      </c>
      <c r="F130" s="749" t="s">
        <v>493</v>
      </c>
      <c r="G130" s="749" t="str">
        <f t="shared" si="12"/>
        <v>/</v>
      </c>
      <c r="H130" s="749" t="s">
        <v>494</v>
      </c>
      <c r="I130" s="748"/>
      <c r="J130" s="749"/>
      <c r="K130" s="749" t="str">
        <f t="shared" si="13"/>
        <v/>
      </c>
      <c r="L130" s="749"/>
      <c r="M130" s="748"/>
      <c r="N130" s="749"/>
      <c r="O130" s="749" t="str">
        <f t="shared" si="14"/>
        <v/>
      </c>
      <c r="P130" s="749"/>
      <c r="Q130" s="748"/>
      <c r="R130" s="749"/>
      <c r="S130" s="749" t="str">
        <f t="shared" si="15"/>
        <v/>
      </c>
      <c r="T130" s="749"/>
      <c r="U130" s="748"/>
      <c r="V130" s="749"/>
      <c r="W130" s="749" t="str">
        <f t="shared" si="16"/>
        <v/>
      </c>
      <c r="X130" s="749"/>
      <c r="Y130" s="748"/>
      <c r="Z130" s="749"/>
      <c r="AA130" s="749" t="str">
        <f t="shared" si="17"/>
        <v/>
      </c>
      <c r="AB130" s="749"/>
      <c r="AC130" s="748"/>
      <c r="AD130" s="749"/>
      <c r="AE130" s="749" t="str">
        <f t="shared" si="18"/>
        <v/>
      </c>
      <c r="AF130" s="749"/>
      <c r="AG130" s="748"/>
      <c r="AH130" s="749"/>
      <c r="AI130" s="749" t="str">
        <f t="shared" si="19"/>
        <v/>
      </c>
      <c r="AJ130" s="749"/>
      <c r="AK130" s="748"/>
      <c r="AL130" s="749"/>
      <c r="AM130" s="749" t="str">
        <f t="shared" si="20"/>
        <v/>
      </c>
      <c r="AN130" s="749"/>
      <c r="AO130" s="748"/>
      <c r="AP130" s="749"/>
      <c r="AQ130" s="749" t="str">
        <f t="shared" si="21"/>
        <v/>
      </c>
      <c r="AR130" s="750"/>
      <c r="AS130" s="751"/>
    </row>
    <row r="131" spans="1:45" x14ac:dyDescent="0.25">
      <c r="A131" s="748">
        <v>64</v>
      </c>
      <c r="B131" s="749" t="s">
        <v>495</v>
      </c>
      <c r="C131" s="749" t="str">
        <f t="shared" si="11"/>
        <v>/</v>
      </c>
      <c r="D131" s="749" t="s">
        <v>496</v>
      </c>
      <c r="E131" s="748"/>
      <c r="F131" s="749"/>
      <c r="G131" s="749" t="str">
        <f t="shared" si="12"/>
        <v/>
      </c>
      <c r="H131" s="749"/>
      <c r="I131" s="748"/>
      <c r="J131" s="749"/>
      <c r="K131" s="749" t="str">
        <f t="shared" si="13"/>
        <v/>
      </c>
      <c r="L131" s="749"/>
      <c r="M131" s="748"/>
      <c r="N131" s="749"/>
      <c r="O131" s="749" t="str">
        <f t="shared" si="14"/>
        <v/>
      </c>
      <c r="P131" s="749"/>
      <c r="Q131" s="748"/>
      <c r="R131" s="749"/>
      <c r="S131" s="749" t="str">
        <f t="shared" si="15"/>
        <v/>
      </c>
      <c r="T131" s="749"/>
      <c r="U131" s="748"/>
      <c r="V131" s="749"/>
      <c r="W131" s="749" t="str">
        <f t="shared" si="16"/>
        <v/>
      </c>
      <c r="X131" s="749"/>
      <c r="Y131" s="748"/>
      <c r="Z131" s="749"/>
      <c r="AA131" s="749" t="str">
        <f t="shared" si="17"/>
        <v/>
      </c>
      <c r="AB131" s="749"/>
      <c r="AC131" s="748"/>
      <c r="AD131" s="749"/>
      <c r="AE131" s="749" t="str">
        <f t="shared" si="18"/>
        <v/>
      </c>
      <c r="AF131" s="749"/>
      <c r="AG131" s="748"/>
      <c r="AH131" s="749"/>
      <c r="AI131" s="749" t="str">
        <f t="shared" si="19"/>
        <v/>
      </c>
      <c r="AJ131" s="749"/>
      <c r="AK131" s="748"/>
      <c r="AL131" s="749"/>
      <c r="AM131" s="749" t="str">
        <f t="shared" si="20"/>
        <v/>
      </c>
      <c r="AN131" s="749"/>
      <c r="AO131" s="748"/>
      <c r="AP131" s="749"/>
      <c r="AQ131" s="749" t="str">
        <f t="shared" si="21"/>
        <v/>
      </c>
      <c r="AR131" s="750"/>
      <c r="AS131" s="751"/>
    </row>
    <row r="132" spans="1:45" x14ac:dyDescent="0.25">
      <c r="A132" s="748"/>
      <c r="B132" s="749"/>
      <c r="C132" s="749" t="str">
        <f t="shared" si="11"/>
        <v/>
      </c>
      <c r="D132" s="749"/>
      <c r="E132" s="748"/>
      <c r="F132" s="749"/>
      <c r="G132" s="749" t="str">
        <f t="shared" si="12"/>
        <v/>
      </c>
      <c r="H132" s="749"/>
      <c r="I132" s="748"/>
      <c r="J132" s="749"/>
      <c r="K132" s="749" t="str">
        <f t="shared" si="13"/>
        <v/>
      </c>
      <c r="L132" s="749"/>
      <c r="M132" s="748"/>
      <c r="N132" s="749"/>
      <c r="O132" s="749" t="str">
        <f t="shared" si="14"/>
        <v/>
      </c>
      <c r="P132" s="749"/>
      <c r="Q132" s="748"/>
      <c r="R132" s="749"/>
      <c r="S132" s="749" t="str">
        <f t="shared" si="15"/>
        <v/>
      </c>
      <c r="T132" s="749"/>
      <c r="U132" s="748">
        <v>4</v>
      </c>
      <c r="V132" s="749" t="s">
        <v>497</v>
      </c>
      <c r="W132" s="749" t="str">
        <f>IF(V132&lt;&gt;"","/","")</f>
        <v>/</v>
      </c>
      <c r="X132" s="749" t="s">
        <v>498</v>
      </c>
      <c r="Y132" s="748"/>
      <c r="Z132" s="749"/>
      <c r="AA132" s="749" t="str">
        <f t="shared" si="17"/>
        <v/>
      </c>
      <c r="AB132" s="749"/>
      <c r="AC132" s="748"/>
      <c r="AD132" s="749"/>
      <c r="AE132" s="749" t="str">
        <f>IF(AD132&lt;&gt;"","/","")</f>
        <v/>
      </c>
      <c r="AF132" s="749"/>
      <c r="AG132" s="748"/>
      <c r="AH132" s="749"/>
      <c r="AI132" s="749" t="str">
        <f t="shared" si="19"/>
        <v/>
      </c>
      <c r="AJ132" s="749"/>
      <c r="AK132" s="748"/>
      <c r="AL132" s="749"/>
      <c r="AM132" s="749" t="str">
        <f t="shared" si="20"/>
        <v/>
      </c>
      <c r="AN132" s="749"/>
      <c r="AO132" s="748"/>
      <c r="AP132" s="749"/>
      <c r="AQ132" s="749" t="str">
        <f t="shared" si="21"/>
        <v/>
      </c>
      <c r="AR132" s="750"/>
      <c r="AS132" s="751"/>
    </row>
    <row r="133" spans="1:45" x14ac:dyDescent="0.25">
      <c r="A133" s="748">
        <v>65</v>
      </c>
      <c r="B133" s="749" t="s">
        <v>499</v>
      </c>
      <c r="C133" s="749" t="str">
        <f t="shared" si="11"/>
        <v>/</v>
      </c>
      <c r="D133" s="749" t="s">
        <v>500</v>
      </c>
      <c r="E133" s="748"/>
      <c r="F133" s="749"/>
      <c r="G133" s="749" t="str">
        <f t="shared" si="12"/>
        <v/>
      </c>
      <c r="H133" s="749"/>
      <c r="I133" s="748"/>
      <c r="J133" s="749"/>
      <c r="K133" s="749" t="str">
        <f t="shared" si="13"/>
        <v/>
      </c>
      <c r="L133" s="749"/>
      <c r="M133" s="748"/>
      <c r="N133" s="749"/>
      <c r="O133" s="749" t="str">
        <f t="shared" si="14"/>
        <v/>
      </c>
      <c r="P133" s="749"/>
      <c r="Q133" s="748"/>
      <c r="R133" s="749"/>
      <c r="S133" s="749" t="str">
        <f t="shared" si="15"/>
        <v/>
      </c>
      <c r="T133" s="749"/>
      <c r="U133" s="748"/>
      <c r="V133" s="749"/>
      <c r="W133" s="749" t="str">
        <f t="shared" si="16"/>
        <v/>
      </c>
      <c r="X133" s="749"/>
      <c r="Y133" s="748"/>
      <c r="Z133" s="749"/>
      <c r="AA133" s="749" t="str">
        <f t="shared" si="17"/>
        <v/>
      </c>
      <c r="AB133" s="749"/>
      <c r="AC133" s="748"/>
      <c r="AD133" s="749"/>
      <c r="AE133" s="749" t="str">
        <f t="shared" si="18"/>
        <v/>
      </c>
      <c r="AF133" s="749"/>
      <c r="AG133" s="748"/>
      <c r="AH133" s="749"/>
      <c r="AI133" s="749" t="str">
        <f t="shared" si="19"/>
        <v/>
      </c>
      <c r="AJ133" s="749"/>
      <c r="AK133" s="748"/>
      <c r="AL133" s="749"/>
      <c r="AM133" s="749" t="str">
        <f t="shared" si="20"/>
        <v/>
      </c>
      <c r="AN133" s="749"/>
      <c r="AO133" s="748"/>
      <c r="AP133" s="749"/>
      <c r="AQ133" s="749" t="str">
        <f t="shared" si="21"/>
        <v/>
      </c>
      <c r="AR133" s="750"/>
      <c r="AS133" s="751"/>
    </row>
    <row r="134" spans="1:45" x14ac:dyDescent="0.25">
      <c r="A134" s="748"/>
      <c r="B134" s="749"/>
      <c r="C134" s="749" t="str">
        <f t="shared" ref="C134:C155" si="22">IF(B134&lt;&gt;"","/","")</f>
        <v/>
      </c>
      <c r="D134" s="749"/>
      <c r="E134" s="748">
        <v>33</v>
      </c>
      <c r="F134" s="749" t="s">
        <v>501</v>
      </c>
      <c r="G134" s="749" t="str">
        <f t="shared" ref="G134:G155" si="23">IF(F134&lt;&gt;"","/","")</f>
        <v>/</v>
      </c>
      <c r="H134" s="749" t="s">
        <v>502</v>
      </c>
      <c r="I134" s="748"/>
      <c r="J134" s="749"/>
      <c r="K134" s="749" t="str">
        <f t="shared" ref="K134:K155" si="24">IF(J134&lt;&gt;"","/","")</f>
        <v/>
      </c>
      <c r="L134" s="749"/>
      <c r="M134" s="748"/>
      <c r="N134" s="749"/>
      <c r="O134" s="749" t="str">
        <f t="shared" ref="O134:O155" si="25">IF(N134&lt;&gt;"","/","")</f>
        <v/>
      </c>
      <c r="P134" s="749"/>
      <c r="Q134" s="748"/>
      <c r="R134" s="749"/>
      <c r="S134" s="749" t="str">
        <f t="shared" ref="S134:S155" si="26">IF(R134&lt;&gt;"","/","")</f>
        <v/>
      </c>
      <c r="T134" s="749"/>
      <c r="U134" s="748"/>
      <c r="V134" s="749"/>
      <c r="W134" s="749" t="str">
        <f t="shared" ref="W134:W155" si="27">IF(V134&lt;&gt;"","/","")</f>
        <v/>
      </c>
      <c r="X134" s="749"/>
      <c r="Y134" s="748"/>
      <c r="Z134" s="749"/>
      <c r="AA134" s="749" t="str">
        <f t="shared" ref="AA134:AA155" si="28">IF(Z134&lt;&gt;"","/","")</f>
        <v/>
      </c>
      <c r="AB134" s="749"/>
      <c r="AC134" s="748"/>
      <c r="AD134" s="749"/>
      <c r="AE134" s="749" t="str">
        <f t="shared" ref="AE134:AE155" si="29">IF(AD134&lt;&gt;"","/","")</f>
        <v/>
      </c>
      <c r="AF134" s="749"/>
      <c r="AG134" s="748"/>
      <c r="AH134" s="749"/>
      <c r="AI134" s="749" t="str">
        <f t="shared" ref="AI134:AI155" si="30">IF(AH134&lt;&gt;"","/","")</f>
        <v/>
      </c>
      <c r="AJ134" s="749"/>
      <c r="AK134" s="748"/>
      <c r="AL134" s="749"/>
      <c r="AM134" s="749" t="str">
        <f t="shared" ref="AM134:AM155" si="31">IF(AL134&lt;&gt;"","/","")</f>
        <v/>
      </c>
      <c r="AN134" s="749"/>
      <c r="AO134" s="748"/>
      <c r="AP134" s="749"/>
      <c r="AQ134" s="749" t="str">
        <f t="shared" ref="AQ134:AQ155" si="32">IF(AP134&lt;&gt;"","/","")</f>
        <v/>
      </c>
      <c r="AR134" s="750"/>
      <c r="AS134" s="751"/>
    </row>
    <row r="135" spans="1:45" x14ac:dyDescent="0.25">
      <c r="A135" s="748">
        <v>66</v>
      </c>
      <c r="B135" s="749" t="s">
        <v>503</v>
      </c>
      <c r="C135" s="749" t="str">
        <f t="shared" si="22"/>
        <v>/</v>
      </c>
      <c r="D135" s="749" t="s">
        <v>504</v>
      </c>
      <c r="E135" s="748"/>
      <c r="F135" s="749"/>
      <c r="G135" s="749" t="str">
        <f t="shared" si="23"/>
        <v/>
      </c>
      <c r="H135" s="749"/>
      <c r="I135" s="748"/>
      <c r="J135" s="749"/>
      <c r="K135" s="749" t="str">
        <f t="shared" si="24"/>
        <v/>
      </c>
      <c r="L135" s="749"/>
      <c r="M135" s="748"/>
      <c r="N135" s="749"/>
      <c r="O135" s="749" t="str">
        <f t="shared" si="25"/>
        <v/>
      </c>
      <c r="P135" s="749"/>
      <c r="Q135" s="748"/>
      <c r="R135" s="749"/>
      <c r="S135" s="749" t="str">
        <f t="shared" si="26"/>
        <v/>
      </c>
      <c r="T135" s="749"/>
      <c r="U135" s="748"/>
      <c r="V135" s="749"/>
      <c r="W135" s="749" t="str">
        <f t="shared" si="27"/>
        <v/>
      </c>
      <c r="X135" s="749"/>
      <c r="Y135" s="748"/>
      <c r="Z135" s="749"/>
      <c r="AA135" s="749" t="str">
        <f t="shared" si="28"/>
        <v/>
      </c>
      <c r="AB135" s="749"/>
      <c r="AC135" s="748"/>
      <c r="AD135" s="749"/>
      <c r="AE135" s="749" t="str">
        <f t="shared" si="29"/>
        <v/>
      </c>
      <c r="AF135" s="749"/>
      <c r="AG135" s="748"/>
      <c r="AH135" s="749"/>
      <c r="AI135" s="749" t="str">
        <f t="shared" si="30"/>
        <v/>
      </c>
      <c r="AJ135" s="749"/>
      <c r="AK135" s="748"/>
      <c r="AL135" s="749"/>
      <c r="AM135" s="749" t="str">
        <f t="shared" si="31"/>
        <v/>
      </c>
      <c r="AN135" s="749"/>
      <c r="AO135" s="748"/>
      <c r="AP135" s="749"/>
      <c r="AQ135" s="749" t="str">
        <f t="shared" si="32"/>
        <v/>
      </c>
      <c r="AR135" s="750"/>
      <c r="AS135" s="751"/>
    </row>
    <row r="136" spans="1:45" x14ac:dyDescent="0.25">
      <c r="A136" s="748"/>
      <c r="B136" s="749"/>
      <c r="C136" s="749" t="str">
        <f t="shared" si="22"/>
        <v/>
      </c>
      <c r="D136" s="749"/>
      <c r="E136" s="748"/>
      <c r="F136" s="749"/>
      <c r="G136" s="749" t="str">
        <f t="shared" si="23"/>
        <v/>
      </c>
      <c r="H136" s="749"/>
      <c r="I136" s="748">
        <v>17</v>
      </c>
      <c r="J136" s="749" t="s">
        <v>505</v>
      </c>
      <c r="K136" s="749" t="str">
        <f t="shared" si="24"/>
        <v>/</v>
      </c>
      <c r="L136" s="749" t="s">
        <v>506</v>
      </c>
      <c r="M136" s="748"/>
      <c r="N136" s="749"/>
      <c r="O136" s="749" t="str">
        <f t="shared" si="25"/>
        <v/>
      </c>
      <c r="P136" s="749"/>
      <c r="Q136" s="748"/>
      <c r="R136" s="749"/>
      <c r="S136" s="749" t="str">
        <f t="shared" si="26"/>
        <v/>
      </c>
      <c r="T136" s="749"/>
      <c r="U136" s="748"/>
      <c r="V136" s="749"/>
      <c r="W136" s="749" t="str">
        <f t="shared" si="27"/>
        <v/>
      </c>
      <c r="X136" s="749"/>
      <c r="Y136" s="748"/>
      <c r="Z136" s="749"/>
      <c r="AA136" s="749" t="str">
        <f t="shared" si="28"/>
        <v/>
      </c>
      <c r="AB136" s="749"/>
      <c r="AC136" s="748"/>
      <c r="AD136" s="749"/>
      <c r="AE136" s="749" t="str">
        <f t="shared" si="29"/>
        <v/>
      </c>
      <c r="AF136" s="749"/>
      <c r="AG136" s="748"/>
      <c r="AH136" s="749"/>
      <c r="AI136" s="749" t="str">
        <f t="shared" si="30"/>
        <v/>
      </c>
      <c r="AJ136" s="749"/>
      <c r="AK136" s="748"/>
      <c r="AL136" s="749"/>
      <c r="AM136" s="749" t="str">
        <f t="shared" si="31"/>
        <v/>
      </c>
      <c r="AN136" s="749"/>
      <c r="AO136" s="748"/>
      <c r="AP136" s="749"/>
      <c r="AQ136" s="749" t="str">
        <f t="shared" si="32"/>
        <v/>
      </c>
      <c r="AR136" s="750"/>
      <c r="AS136" s="751"/>
    </row>
    <row r="137" spans="1:45" x14ac:dyDescent="0.25">
      <c r="A137" s="748">
        <v>67</v>
      </c>
      <c r="B137" s="749" t="s">
        <v>507</v>
      </c>
      <c r="C137" s="749" t="str">
        <f t="shared" si="22"/>
        <v>/</v>
      </c>
      <c r="D137" s="749" t="s">
        <v>508</v>
      </c>
      <c r="E137" s="748"/>
      <c r="F137" s="749"/>
      <c r="G137" s="749" t="str">
        <f t="shared" si="23"/>
        <v/>
      </c>
      <c r="H137" s="749"/>
      <c r="I137" s="748"/>
      <c r="J137" s="749"/>
      <c r="K137" s="749" t="str">
        <f t="shared" si="24"/>
        <v/>
      </c>
      <c r="L137" s="749"/>
      <c r="M137" s="748"/>
      <c r="N137" s="749"/>
      <c r="O137" s="749" t="str">
        <f t="shared" si="25"/>
        <v/>
      </c>
      <c r="P137" s="749"/>
      <c r="Q137" s="748"/>
      <c r="R137" s="749"/>
      <c r="S137" s="749" t="str">
        <f t="shared" si="26"/>
        <v/>
      </c>
      <c r="T137" s="749"/>
      <c r="U137" s="748"/>
      <c r="V137" s="749"/>
      <c r="W137" s="749" t="str">
        <f t="shared" si="27"/>
        <v/>
      </c>
      <c r="X137" s="749"/>
      <c r="Y137" s="748"/>
      <c r="Z137" s="749"/>
      <c r="AA137" s="749" t="str">
        <f t="shared" si="28"/>
        <v/>
      </c>
      <c r="AB137" s="749"/>
      <c r="AC137" s="748"/>
      <c r="AD137" s="749"/>
      <c r="AE137" s="749" t="str">
        <f t="shared" si="29"/>
        <v/>
      </c>
      <c r="AF137" s="749"/>
      <c r="AG137" s="748"/>
      <c r="AH137" s="749"/>
      <c r="AI137" s="749" t="str">
        <f t="shared" si="30"/>
        <v/>
      </c>
      <c r="AJ137" s="749"/>
      <c r="AK137" s="748"/>
      <c r="AL137" s="749"/>
      <c r="AM137" s="749" t="str">
        <f t="shared" si="31"/>
        <v/>
      </c>
      <c r="AN137" s="749"/>
      <c r="AO137" s="748"/>
      <c r="AP137" s="749"/>
      <c r="AQ137" s="749" t="str">
        <f t="shared" si="32"/>
        <v/>
      </c>
      <c r="AR137" s="750"/>
      <c r="AS137" s="751"/>
    </row>
    <row r="138" spans="1:45" x14ac:dyDescent="0.25">
      <c r="A138" s="748"/>
      <c r="B138" s="749"/>
      <c r="C138" s="749" t="str">
        <f t="shared" si="22"/>
        <v/>
      </c>
      <c r="D138" s="749"/>
      <c r="E138" s="748">
        <v>34</v>
      </c>
      <c r="F138" s="749" t="s">
        <v>509</v>
      </c>
      <c r="G138" s="749" t="str">
        <f t="shared" si="23"/>
        <v>/</v>
      </c>
      <c r="H138" s="749" t="s">
        <v>510</v>
      </c>
      <c r="I138" s="748"/>
      <c r="J138" s="749"/>
      <c r="K138" s="749" t="str">
        <f t="shared" si="24"/>
        <v/>
      </c>
      <c r="L138" s="749"/>
      <c r="M138" s="748"/>
      <c r="N138" s="749"/>
      <c r="O138" s="749" t="str">
        <f t="shared" si="25"/>
        <v/>
      </c>
      <c r="P138" s="749"/>
      <c r="Q138" s="748"/>
      <c r="R138" s="749"/>
      <c r="S138" s="749" t="str">
        <f t="shared" si="26"/>
        <v/>
      </c>
      <c r="T138" s="749"/>
      <c r="U138" s="748"/>
      <c r="V138" s="749"/>
      <c r="W138" s="749" t="str">
        <f t="shared" si="27"/>
        <v/>
      </c>
      <c r="X138" s="749"/>
      <c r="Y138" s="748"/>
      <c r="Z138" s="749"/>
      <c r="AA138" s="749" t="str">
        <f t="shared" si="28"/>
        <v/>
      </c>
      <c r="AB138" s="749"/>
      <c r="AC138" s="748"/>
      <c r="AD138" s="749"/>
      <c r="AE138" s="749" t="str">
        <f t="shared" si="29"/>
        <v/>
      </c>
      <c r="AF138" s="749"/>
      <c r="AG138" s="748"/>
      <c r="AH138" s="749"/>
      <c r="AI138" s="749" t="str">
        <f t="shared" si="30"/>
        <v/>
      </c>
      <c r="AJ138" s="749"/>
      <c r="AK138" s="748"/>
      <c r="AL138" s="749"/>
      <c r="AM138" s="749" t="str">
        <f t="shared" si="31"/>
        <v/>
      </c>
      <c r="AN138" s="749"/>
      <c r="AO138" s="748"/>
      <c r="AP138" s="749"/>
      <c r="AQ138" s="749" t="str">
        <f t="shared" si="32"/>
        <v/>
      </c>
      <c r="AR138" s="750"/>
      <c r="AS138" s="751"/>
    </row>
    <row r="139" spans="1:45" x14ac:dyDescent="0.25">
      <c r="A139" s="748">
        <v>68</v>
      </c>
      <c r="B139" s="749" t="s">
        <v>511</v>
      </c>
      <c r="C139" s="749" t="str">
        <f t="shared" si="22"/>
        <v>/</v>
      </c>
      <c r="D139" s="749" t="s">
        <v>512</v>
      </c>
      <c r="E139" s="748"/>
      <c r="F139" s="749"/>
      <c r="G139" s="749" t="str">
        <f t="shared" si="23"/>
        <v/>
      </c>
      <c r="H139" s="749"/>
      <c r="I139" s="748"/>
      <c r="J139" s="749"/>
      <c r="K139" s="749" t="str">
        <f t="shared" si="24"/>
        <v/>
      </c>
      <c r="L139" s="749"/>
      <c r="M139" s="748"/>
      <c r="N139" s="749"/>
      <c r="O139" s="749" t="str">
        <f t="shared" si="25"/>
        <v/>
      </c>
      <c r="P139" s="749"/>
      <c r="Q139" s="748"/>
      <c r="R139" s="749"/>
      <c r="S139" s="749" t="str">
        <f t="shared" si="26"/>
        <v/>
      </c>
      <c r="T139" s="749"/>
      <c r="U139" s="748"/>
      <c r="V139" s="749"/>
      <c r="W139" s="749" t="str">
        <f t="shared" si="27"/>
        <v/>
      </c>
      <c r="X139" s="749"/>
      <c r="Y139" s="748"/>
      <c r="Z139" s="749"/>
      <c r="AA139" s="749" t="str">
        <f t="shared" si="28"/>
        <v/>
      </c>
      <c r="AB139" s="749"/>
      <c r="AC139" s="748"/>
      <c r="AD139" s="749"/>
      <c r="AE139" s="749" t="str">
        <f t="shared" si="29"/>
        <v/>
      </c>
      <c r="AF139" s="749"/>
      <c r="AG139" s="748"/>
      <c r="AH139" s="749"/>
      <c r="AI139" s="749" t="str">
        <f t="shared" si="30"/>
        <v/>
      </c>
      <c r="AJ139" s="749"/>
      <c r="AK139" s="748"/>
      <c r="AL139" s="749"/>
      <c r="AM139" s="749" t="str">
        <f t="shared" si="31"/>
        <v/>
      </c>
      <c r="AN139" s="749"/>
      <c r="AO139" s="748"/>
      <c r="AP139" s="749"/>
      <c r="AQ139" s="749" t="str">
        <f t="shared" si="32"/>
        <v/>
      </c>
      <c r="AR139" s="750"/>
      <c r="AS139" s="751"/>
    </row>
    <row r="140" spans="1:45" x14ac:dyDescent="0.25">
      <c r="A140" s="748"/>
      <c r="B140" s="749"/>
      <c r="C140" s="749" t="str">
        <f t="shared" si="22"/>
        <v/>
      </c>
      <c r="D140" s="749"/>
      <c r="E140" s="748"/>
      <c r="F140" s="749"/>
      <c r="G140" s="749" t="str">
        <f t="shared" si="23"/>
        <v/>
      </c>
      <c r="H140" s="749"/>
      <c r="I140" s="748"/>
      <c r="J140" s="749"/>
      <c r="K140" s="749" t="str">
        <f t="shared" si="24"/>
        <v/>
      </c>
      <c r="L140" s="749"/>
      <c r="M140" s="748">
        <v>9</v>
      </c>
      <c r="N140" s="749" t="s">
        <v>513</v>
      </c>
      <c r="O140" s="749" t="str">
        <f t="shared" si="25"/>
        <v>/</v>
      </c>
      <c r="P140" s="749" t="s">
        <v>514</v>
      </c>
      <c r="Q140" s="748"/>
      <c r="R140" s="749"/>
      <c r="S140" s="749" t="str">
        <f t="shared" si="26"/>
        <v/>
      </c>
      <c r="T140" s="749"/>
      <c r="U140" s="748"/>
      <c r="V140" s="749"/>
      <c r="W140" s="749" t="str">
        <f t="shared" si="27"/>
        <v/>
      </c>
      <c r="X140" s="749"/>
      <c r="Y140" s="748"/>
      <c r="Z140" s="749"/>
      <c r="AA140" s="749" t="str">
        <f t="shared" si="28"/>
        <v/>
      </c>
      <c r="AB140" s="749"/>
      <c r="AC140" s="748"/>
      <c r="AD140" s="749"/>
      <c r="AE140" s="749" t="str">
        <f t="shared" si="29"/>
        <v/>
      </c>
      <c r="AF140" s="749"/>
      <c r="AG140" s="748"/>
      <c r="AH140" s="749"/>
      <c r="AI140" s="749" t="str">
        <f t="shared" si="30"/>
        <v/>
      </c>
      <c r="AJ140" s="749"/>
      <c r="AK140" s="748"/>
      <c r="AL140" s="749"/>
      <c r="AM140" s="749" t="str">
        <f t="shared" si="31"/>
        <v/>
      </c>
      <c r="AN140" s="749"/>
      <c r="AO140" s="748"/>
      <c r="AP140" s="749"/>
      <c r="AQ140" s="749" t="str">
        <f t="shared" si="32"/>
        <v/>
      </c>
      <c r="AR140" s="750"/>
      <c r="AS140" s="751"/>
    </row>
    <row r="141" spans="1:45" x14ac:dyDescent="0.25">
      <c r="A141" s="748">
        <v>69</v>
      </c>
      <c r="B141" s="749" t="s">
        <v>515</v>
      </c>
      <c r="C141" s="749" t="str">
        <f t="shared" si="22"/>
        <v>/</v>
      </c>
      <c r="D141" s="749" t="s">
        <v>516</v>
      </c>
      <c r="E141" s="748"/>
      <c r="F141" s="749"/>
      <c r="G141" s="749" t="str">
        <f t="shared" si="23"/>
        <v/>
      </c>
      <c r="H141" s="749"/>
      <c r="I141" s="748"/>
      <c r="J141" s="749"/>
      <c r="K141" s="749" t="str">
        <f t="shared" si="24"/>
        <v/>
      </c>
      <c r="L141" s="749"/>
      <c r="M141" s="748"/>
      <c r="N141" s="749"/>
      <c r="O141" s="749" t="str">
        <f t="shared" si="25"/>
        <v/>
      </c>
      <c r="P141" s="749"/>
      <c r="Q141" s="748"/>
      <c r="R141" s="749"/>
      <c r="S141" s="749" t="str">
        <f t="shared" si="26"/>
        <v/>
      </c>
      <c r="T141" s="749"/>
      <c r="U141" s="748"/>
      <c r="V141" s="749"/>
      <c r="W141" s="749" t="str">
        <f t="shared" si="27"/>
        <v/>
      </c>
      <c r="X141" s="749"/>
      <c r="Y141" s="748"/>
      <c r="Z141" s="749"/>
      <c r="AA141" s="749" t="str">
        <f t="shared" si="28"/>
        <v/>
      </c>
      <c r="AB141" s="749"/>
      <c r="AC141" s="748"/>
      <c r="AD141" s="749"/>
      <c r="AE141" s="749" t="str">
        <f t="shared" si="29"/>
        <v/>
      </c>
      <c r="AF141" s="749"/>
      <c r="AG141" s="748"/>
      <c r="AH141" s="749"/>
      <c r="AI141" s="749" t="str">
        <f t="shared" si="30"/>
        <v/>
      </c>
      <c r="AJ141" s="749"/>
      <c r="AK141" s="748"/>
      <c r="AL141" s="749"/>
      <c r="AM141" s="749" t="str">
        <f t="shared" si="31"/>
        <v/>
      </c>
      <c r="AN141" s="749"/>
      <c r="AO141" s="748"/>
      <c r="AP141" s="749"/>
      <c r="AQ141" s="749" t="str">
        <f t="shared" si="32"/>
        <v/>
      </c>
      <c r="AR141" s="750"/>
      <c r="AS141" s="751"/>
    </row>
    <row r="142" spans="1:45" x14ac:dyDescent="0.25">
      <c r="A142" s="748"/>
      <c r="B142" s="749"/>
      <c r="C142" s="749" t="str">
        <f t="shared" si="22"/>
        <v/>
      </c>
      <c r="D142" s="749"/>
      <c r="E142" s="748">
        <v>35</v>
      </c>
      <c r="F142" s="749" t="s">
        <v>517</v>
      </c>
      <c r="G142" s="749" t="str">
        <f t="shared" si="23"/>
        <v>/</v>
      </c>
      <c r="H142" s="749" t="s">
        <v>518</v>
      </c>
      <c r="I142" s="748"/>
      <c r="J142" s="749"/>
      <c r="K142" s="749" t="str">
        <f t="shared" si="24"/>
        <v/>
      </c>
      <c r="L142" s="749"/>
      <c r="M142" s="748"/>
      <c r="N142" s="749"/>
      <c r="O142" s="749" t="str">
        <f t="shared" si="25"/>
        <v/>
      </c>
      <c r="P142" s="749"/>
      <c r="Q142" s="748"/>
      <c r="R142" s="749"/>
      <c r="S142" s="749" t="str">
        <f t="shared" si="26"/>
        <v/>
      </c>
      <c r="T142" s="749"/>
      <c r="U142" s="748"/>
      <c r="V142" s="749"/>
      <c r="W142" s="749" t="str">
        <f t="shared" si="27"/>
        <v/>
      </c>
      <c r="X142" s="749"/>
      <c r="Y142" s="748"/>
      <c r="Z142" s="749"/>
      <c r="AA142" s="749" t="str">
        <f t="shared" si="28"/>
        <v/>
      </c>
      <c r="AB142" s="749"/>
      <c r="AC142" s="748"/>
      <c r="AD142" s="749"/>
      <c r="AE142" s="749" t="str">
        <f t="shared" si="29"/>
        <v/>
      </c>
      <c r="AF142" s="749"/>
      <c r="AG142" s="748"/>
      <c r="AH142" s="749"/>
      <c r="AI142" s="749" t="str">
        <f t="shared" si="30"/>
        <v/>
      </c>
      <c r="AJ142" s="749"/>
      <c r="AK142" s="748"/>
      <c r="AL142" s="749"/>
      <c r="AM142" s="749" t="str">
        <f t="shared" si="31"/>
        <v/>
      </c>
      <c r="AN142" s="749"/>
      <c r="AO142" s="748"/>
      <c r="AP142" s="749"/>
      <c r="AQ142" s="749" t="str">
        <f t="shared" si="32"/>
        <v/>
      </c>
      <c r="AR142" s="750"/>
      <c r="AS142" s="751"/>
    </row>
    <row r="143" spans="1:45" x14ac:dyDescent="0.25">
      <c r="A143" s="748">
        <v>70</v>
      </c>
      <c r="B143" s="749" t="s">
        <v>519</v>
      </c>
      <c r="C143" s="749" t="str">
        <f t="shared" si="22"/>
        <v>/</v>
      </c>
      <c r="D143" s="749" t="s">
        <v>520</v>
      </c>
      <c r="E143" s="748"/>
      <c r="F143" s="749"/>
      <c r="G143" s="749" t="str">
        <f t="shared" si="23"/>
        <v/>
      </c>
      <c r="H143" s="749"/>
      <c r="I143" s="748"/>
      <c r="J143" s="749"/>
      <c r="K143" s="749" t="str">
        <f t="shared" si="24"/>
        <v/>
      </c>
      <c r="L143" s="749"/>
      <c r="M143" s="748"/>
      <c r="N143" s="749"/>
      <c r="O143" s="749" t="str">
        <f t="shared" si="25"/>
        <v/>
      </c>
      <c r="P143" s="749"/>
      <c r="Q143" s="748"/>
      <c r="R143" s="749"/>
      <c r="S143" s="749" t="str">
        <f t="shared" si="26"/>
        <v/>
      </c>
      <c r="T143" s="749"/>
      <c r="U143" s="748"/>
      <c r="V143" s="749"/>
      <c r="W143" s="749" t="str">
        <f t="shared" si="27"/>
        <v/>
      </c>
      <c r="X143" s="749"/>
      <c r="Y143" s="748"/>
      <c r="Z143" s="749"/>
      <c r="AA143" s="749" t="str">
        <f t="shared" si="28"/>
        <v/>
      </c>
      <c r="AB143" s="749"/>
      <c r="AC143" s="748"/>
      <c r="AD143" s="749"/>
      <c r="AE143" s="749" t="str">
        <f t="shared" si="29"/>
        <v/>
      </c>
      <c r="AF143" s="749"/>
      <c r="AG143" s="748"/>
      <c r="AH143" s="749"/>
      <c r="AI143" s="749" t="str">
        <f t="shared" si="30"/>
        <v/>
      </c>
      <c r="AJ143" s="749"/>
      <c r="AK143" s="748"/>
      <c r="AL143" s="749"/>
      <c r="AM143" s="749" t="str">
        <f t="shared" si="31"/>
        <v/>
      </c>
      <c r="AN143" s="749"/>
      <c r="AO143" s="748"/>
      <c r="AP143" s="749"/>
      <c r="AQ143" s="749" t="str">
        <f t="shared" si="32"/>
        <v/>
      </c>
      <c r="AR143" s="750"/>
      <c r="AS143" s="751"/>
    </row>
    <row r="144" spans="1:45" x14ac:dyDescent="0.25">
      <c r="A144" s="748"/>
      <c r="B144" s="749"/>
      <c r="C144" s="749" t="str">
        <f t="shared" si="22"/>
        <v/>
      </c>
      <c r="D144" s="749"/>
      <c r="E144" s="748"/>
      <c r="F144" s="749"/>
      <c r="G144" s="749" t="str">
        <f t="shared" si="23"/>
        <v/>
      </c>
      <c r="H144" s="749"/>
      <c r="I144" s="748">
        <v>18</v>
      </c>
      <c r="J144" s="749" t="s">
        <v>521</v>
      </c>
      <c r="K144" s="749" t="str">
        <f t="shared" si="24"/>
        <v>/</v>
      </c>
      <c r="L144" s="749" t="s">
        <v>522</v>
      </c>
      <c r="M144" s="748"/>
      <c r="N144" s="749"/>
      <c r="O144" s="749" t="str">
        <f t="shared" si="25"/>
        <v/>
      </c>
      <c r="P144" s="749"/>
      <c r="Q144" s="748">
        <v>6</v>
      </c>
      <c r="R144" s="749" t="s">
        <v>521</v>
      </c>
      <c r="S144" s="749" t="str">
        <f t="shared" si="26"/>
        <v>/</v>
      </c>
      <c r="T144" s="749" t="s">
        <v>522</v>
      </c>
      <c r="U144" s="748"/>
      <c r="V144" s="749"/>
      <c r="W144" s="749" t="str">
        <f t="shared" si="27"/>
        <v/>
      </c>
      <c r="X144" s="749"/>
      <c r="Y144" s="748"/>
      <c r="Z144" s="749"/>
      <c r="AA144" s="749" t="str">
        <f t="shared" si="28"/>
        <v/>
      </c>
      <c r="AB144" s="749"/>
      <c r="AC144" s="748"/>
      <c r="AD144" s="749"/>
      <c r="AE144" s="749" t="str">
        <f t="shared" si="29"/>
        <v/>
      </c>
      <c r="AF144" s="749"/>
      <c r="AG144" s="748"/>
      <c r="AH144" s="749"/>
      <c r="AI144" s="749" t="str">
        <f t="shared" si="30"/>
        <v/>
      </c>
      <c r="AJ144" s="749"/>
      <c r="AK144" s="748"/>
      <c r="AL144" s="749"/>
      <c r="AM144" s="749" t="str">
        <f t="shared" si="31"/>
        <v/>
      </c>
      <c r="AN144" s="749"/>
      <c r="AO144" s="748"/>
      <c r="AP144" s="749"/>
      <c r="AQ144" s="749" t="str">
        <f t="shared" si="32"/>
        <v/>
      </c>
      <c r="AR144" s="750"/>
      <c r="AS144" s="751"/>
    </row>
    <row r="145" spans="1:45" x14ac:dyDescent="0.25">
      <c r="A145" s="748">
        <v>71</v>
      </c>
      <c r="B145" s="749" t="s">
        <v>523</v>
      </c>
      <c r="C145" s="749" t="str">
        <f t="shared" si="22"/>
        <v>/</v>
      </c>
      <c r="D145" s="749" t="s">
        <v>524</v>
      </c>
      <c r="E145" s="748"/>
      <c r="F145" s="749"/>
      <c r="G145" s="749" t="str">
        <f t="shared" si="23"/>
        <v/>
      </c>
      <c r="H145" s="749"/>
      <c r="I145" s="748"/>
      <c r="J145" s="749"/>
      <c r="K145" s="749" t="str">
        <f t="shared" si="24"/>
        <v/>
      </c>
      <c r="L145" s="749"/>
      <c r="M145" s="748"/>
      <c r="N145" s="749"/>
      <c r="O145" s="749" t="str">
        <f t="shared" si="25"/>
        <v/>
      </c>
      <c r="P145" s="749"/>
      <c r="Q145" s="748"/>
      <c r="R145" s="749"/>
      <c r="S145" s="749" t="str">
        <f t="shared" si="26"/>
        <v/>
      </c>
      <c r="T145" s="749"/>
      <c r="U145" s="748"/>
      <c r="V145" s="749"/>
      <c r="W145" s="749" t="str">
        <f t="shared" si="27"/>
        <v/>
      </c>
      <c r="X145" s="749"/>
      <c r="Y145" s="748"/>
      <c r="Z145" s="749"/>
      <c r="AA145" s="749" t="str">
        <f t="shared" si="28"/>
        <v/>
      </c>
      <c r="AB145" s="749"/>
      <c r="AC145" s="748"/>
      <c r="AD145" s="749"/>
      <c r="AE145" s="749" t="str">
        <f t="shared" si="29"/>
        <v/>
      </c>
      <c r="AF145" s="749"/>
      <c r="AG145" s="748"/>
      <c r="AH145" s="749"/>
      <c r="AI145" s="749" t="str">
        <f t="shared" si="30"/>
        <v/>
      </c>
      <c r="AJ145" s="749"/>
      <c r="AK145" s="748"/>
      <c r="AL145" s="749"/>
      <c r="AM145" s="749" t="str">
        <f t="shared" si="31"/>
        <v/>
      </c>
      <c r="AN145" s="749"/>
      <c r="AO145" s="748"/>
      <c r="AP145" s="749"/>
      <c r="AQ145" s="749" t="str">
        <f t="shared" si="32"/>
        <v/>
      </c>
      <c r="AR145" s="750"/>
      <c r="AS145" s="751"/>
    </row>
    <row r="146" spans="1:45" x14ac:dyDescent="0.25">
      <c r="A146" s="748"/>
      <c r="B146" s="749"/>
      <c r="C146" s="749" t="str">
        <f t="shared" si="22"/>
        <v/>
      </c>
      <c r="D146" s="749"/>
      <c r="E146" s="748">
        <v>36</v>
      </c>
      <c r="F146" s="749" t="s">
        <v>525</v>
      </c>
      <c r="G146" s="749" t="str">
        <f t="shared" si="23"/>
        <v>/</v>
      </c>
      <c r="H146" s="749" t="s">
        <v>526</v>
      </c>
      <c r="I146" s="748"/>
      <c r="J146" s="749"/>
      <c r="K146" s="749" t="str">
        <f t="shared" si="24"/>
        <v/>
      </c>
      <c r="L146" s="749"/>
      <c r="M146" s="748"/>
      <c r="N146" s="749"/>
      <c r="O146" s="749" t="str">
        <f t="shared" si="25"/>
        <v/>
      </c>
      <c r="P146" s="749"/>
      <c r="Q146" s="748"/>
      <c r="R146" s="749"/>
      <c r="S146" s="749" t="str">
        <f t="shared" si="26"/>
        <v/>
      </c>
      <c r="T146" s="749"/>
      <c r="U146" s="748"/>
      <c r="V146" s="749"/>
      <c r="W146" s="749" t="str">
        <f t="shared" si="27"/>
        <v/>
      </c>
      <c r="X146" s="749"/>
      <c r="Y146" s="748"/>
      <c r="Z146" s="749"/>
      <c r="AA146" s="749" t="str">
        <f t="shared" si="28"/>
        <v/>
      </c>
      <c r="AB146" s="749"/>
      <c r="AC146" s="748"/>
      <c r="AD146" s="749"/>
      <c r="AE146" s="749" t="str">
        <f t="shared" si="29"/>
        <v/>
      </c>
      <c r="AF146" s="749"/>
      <c r="AG146" s="748"/>
      <c r="AH146" s="749"/>
      <c r="AI146" s="749" t="str">
        <f t="shared" si="30"/>
        <v/>
      </c>
      <c r="AJ146" s="749"/>
      <c r="AK146" s="748"/>
      <c r="AL146" s="749"/>
      <c r="AM146" s="749" t="str">
        <f t="shared" si="31"/>
        <v/>
      </c>
      <c r="AN146" s="749"/>
      <c r="AO146" s="748"/>
      <c r="AP146" s="749"/>
      <c r="AQ146" s="749" t="str">
        <f t="shared" si="32"/>
        <v/>
      </c>
      <c r="AR146" s="750"/>
      <c r="AS146" s="751"/>
    </row>
    <row r="147" spans="1:45" x14ac:dyDescent="0.25">
      <c r="A147" s="748">
        <v>72</v>
      </c>
      <c r="B147" s="749" t="s">
        <v>527</v>
      </c>
      <c r="C147" s="749" t="str">
        <f t="shared" si="22"/>
        <v>/</v>
      </c>
      <c r="D147" s="749" t="s">
        <v>528</v>
      </c>
      <c r="E147" s="748"/>
      <c r="F147" s="749"/>
      <c r="G147" s="749" t="str">
        <f t="shared" si="23"/>
        <v/>
      </c>
      <c r="H147" s="749"/>
      <c r="I147" s="748"/>
      <c r="J147" s="749"/>
      <c r="K147" s="749" t="str">
        <f t="shared" si="24"/>
        <v/>
      </c>
      <c r="L147" s="749"/>
      <c r="M147" s="748"/>
      <c r="N147" s="749"/>
      <c r="O147" s="749" t="str">
        <f t="shared" si="25"/>
        <v/>
      </c>
      <c r="P147" s="749"/>
      <c r="Q147" s="748"/>
      <c r="R147" s="749"/>
      <c r="S147" s="749" t="str">
        <f t="shared" si="26"/>
        <v/>
      </c>
      <c r="T147" s="749"/>
      <c r="U147" s="748"/>
      <c r="V147" s="749"/>
      <c r="W147" s="749" t="str">
        <f t="shared" si="27"/>
        <v/>
      </c>
      <c r="X147" s="749"/>
      <c r="Y147" s="748"/>
      <c r="Z147" s="749"/>
      <c r="AA147" s="749" t="str">
        <f t="shared" si="28"/>
        <v/>
      </c>
      <c r="AB147" s="749"/>
      <c r="AC147" s="748"/>
      <c r="AD147" s="749"/>
      <c r="AE147" s="749" t="str">
        <f t="shared" si="29"/>
        <v/>
      </c>
      <c r="AF147" s="749"/>
      <c r="AG147" s="748"/>
      <c r="AH147" s="749"/>
      <c r="AI147" s="749" t="str">
        <f t="shared" si="30"/>
        <v/>
      </c>
      <c r="AJ147" s="749"/>
      <c r="AK147" s="748"/>
      <c r="AL147" s="749"/>
      <c r="AM147" s="749" t="str">
        <f t="shared" si="31"/>
        <v/>
      </c>
      <c r="AN147" s="749"/>
      <c r="AO147" s="748"/>
      <c r="AP147" s="749"/>
      <c r="AQ147" s="749" t="str">
        <f t="shared" si="32"/>
        <v/>
      </c>
      <c r="AR147" s="750"/>
      <c r="AS147" s="751"/>
    </row>
    <row r="148" spans="1:45" x14ac:dyDescent="0.25">
      <c r="A148" s="748"/>
      <c r="B148" s="749"/>
      <c r="C148" s="749" t="str">
        <f t="shared" si="22"/>
        <v/>
      </c>
      <c r="D148" s="749"/>
      <c r="E148" s="748"/>
      <c r="F148" s="749"/>
      <c r="G148" s="749" t="str">
        <f t="shared" si="23"/>
        <v/>
      </c>
      <c r="H148" s="749"/>
      <c r="I148" s="748"/>
      <c r="J148" s="749"/>
      <c r="K148" s="749" t="str">
        <f t="shared" si="24"/>
        <v/>
      </c>
      <c r="L148" s="749"/>
      <c r="M148" s="748"/>
      <c r="N148" s="749"/>
      <c r="O148" s="749" t="str">
        <f t="shared" si="25"/>
        <v/>
      </c>
      <c r="P148" s="749"/>
      <c r="Q148" s="748"/>
      <c r="R148" s="749"/>
      <c r="S148" s="749" t="str">
        <f t="shared" si="26"/>
        <v/>
      </c>
      <c r="T148" s="749"/>
      <c r="U148" s="748"/>
      <c r="V148" s="749"/>
      <c r="W148" s="749" t="str">
        <f t="shared" si="27"/>
        <v/>
      </c>
      <c r="X148" s="749"/>
      <c r="Y148" s="748"/>
      <c r="Z148" s="749"/>
      <c r="AA148" s="749" t="str">
        <f t="shared" si="28"/>
        <v/>
      </c>
      <c r="AB148" s="749"/>
      <c r="AC148" s="748"/>
      <c r="AD148" s="749"/>
      <c r="AE148" s="749" t="str">
        <f t="shared" si="29"/>
        <v/>
      </c>
      <c r="AF148" s="749"/>
      <c r="AG148" s="748"/>
      <c r="AH148" s="749"/>
      <c r="AI148" s="749" t="str">
        <f t="shared" si="30"/>
        <v/>
      </c>
      <c r="AJ148" s="749"/>
      <c r="AK148" s="748"/>
      <c r="AL148" s="749"/>
      <c r="AM148" s="749" t="str">
        <f t="shared" si="31"/>
        <v/>
      </c>
      <c r="AN148" s="749"/>
      <c r="AO148" s="748"/>
      <c r="AP148" s="749"/>
      <c r="AQ148" s="749" t="str">
        <f t="shared" si="32"/>
        <v/>
      </c>
      <c r="AR148" s="750"/>
      <c r="AS148" s="751"/>
    </row>
    <row r="149" spans="1:45" x14ac:dyDescent="0.25">
      <c r="A149" s="748">
        <v>73</v>
      </c>
      <c r="B149" s="749" t="s">
        <v>529</v>
      </c>
      <c r="C149" s="749" t="str">
        <f t="shared" si="22"/>
        <v>/</v>
      </c>
      <c r="D149" s="749" t="s">
        <v>530</v>
      </c>
      <c r="E149" s="748"/>
      <c r="F149" s="749"/>
      <c r="G149" s="749" t="str">
        <f t="shared" si="23"/>
        <v/>
      </c>
      <c r="H149" s="749"/>
      <c r="I149" s="748"/>
      <c r="J149" s="749"/>
      <c r="K149" s="749" t="str">
        <f t="shared" si="24"/>
        <v/>
      </c>
      <c r="L149" s="749"/>
      <c r="M149" s="748"/>
      <c r="N149" s="749"/>
      <c r="O149" s="749" t="str">
        <f t="shared" si="25"/>
        <v/>
      </c>
      <c r="P149" s="749"/>
      <c r="Q149" s="748"/>
      <c r="R149" s="749"/>
      <c r="S149" s="749" t="str">
        <f t="shared" si="26"/>
        <v/>
      </c>
      <c r="T149" s="749"/>
      <c r="U149" s="748"/>
      <c r="V149" s="749"/>
      <c r="W149" s="749" t="str">
        <f t="shared" si="27"/>
        <v/>
      </c>
      <c r="X149" s="749"/>
      <c r="Y149" s="748"/>
      <c r="Z149" s="749"/>
      <c r="AA149" s="749" t="str">
        <f t="shared" si="28"/>
        <v/>
      </c>
      <c r="AB149" s="749"/>
      <c r="AC149" s="748"/>
      <c r="AD149" s="749"/>
      <c r="AE149" s="749" t="str">
        <f t="shared" si="29"/>
        <v/>
      </c>
      <c r="AF149" s="749"/>
      <c r="AG149" s="748"/>
      <c r="AH149" s="749"/>
      <c r="AI149" s="749" t="str">
        <f t="shared" si="30"/>
        <v/>
      </c>
      <c r="AJ149" s="749"/>
      <c r="AK149" s="748"/>
      <c r="AL149" s="749"/>
      <c r="AM149" s="749" t="str">
        <f t="shared" si="31"/>
        <v/>
      </c>
      <c r="AN149" s="749"/>
      <c r="AO149" s="748"/>
      <c r="AP149" s="749"/>
      <c r="AQ149" s="749" t="str">
        <f t="shared" si="32"/>
        <v/>
      </c>
      <c r="AR149" s="750"/>
      <c r="AS149" s="751"/>
    </row>
    <row r="150" spans="1:45" x14ac:dyDescent="0.25">
      <c r="A150" s="748"/>
      <c r="B150" s="749"/>
      <c r="C150" s="749" t="str">
        <f t="shared" si="22"/>
        <v/>
      </c>
      <c r="D150" s="749"/>
      <c r="E150" s="748">
        <v>37</v>
      </c>
      <c r="F150" s="749" t="s">
        <v>531</v>
      </c>
      <c r="G150" s="749" t="str">
        <f t="shared" si="23"/>
        <v>/</v>
      </c>
      <c r="H150" s="749" t="s">
        <v>532</v>
      </c>
      <c r="I150" s="748"/>
      <c r="J150" s="749"/>
      <c r="K150" s="749" t="str">
        <f t="shared" si="24"/>
        <v/>
      </c>
      <c r="L150" s="749"/>
      <c r="M150" s="748"/>
      <c r="N150" s="749"/>
      <c r="O150" s="749" t="str">
        <f t="shared" si="25"/>
        <v/>
      </c>
      <c r="P150" s="749"/>
      <c r="Q150" s="748"/>
      <c r="R150" s="749"/>
      <c r="S150" s="749" t="str">
        <f t="shared" si="26"/>
        <v/>
      </c>
      <c r="T150" s="749"/>
      <c r="U150" s="748"/>
      <c r="V150" s="749"/>
      <c r="W150" s="749" t="str">
        <f t="shared" si="27"/>
        <v/>
      </c>
      <c r="X150" s="749"/>
      <c r="Y150" s="748"/>
      <c r="Z150" s="749"/>
      <c r="AA150" s="749" t="str">
        <f t="shared" si="28"/>
        <v/>
      </c>
      <c r="AB150" s="749"/>
      <c r="AC150" s="748"/>
      <c r="AD150" s="749"/>
      <c r="AE150" s="749" t="str">
        <f t="shared" si="29"/>
        <v/>
      </c>
      <c r="AF150" s="749"/>
      <c r="AG150" s="748"/>
      <c r="AH150" s="749"/>
      <c r="AI150" s="749" t="str">
        <f t="shared" si="30"/>
        <v/>
      </c>
      <c r="AJ150" s="749"/>
      <c r="AK150" s="748"/>
      <c r="AL150" s="749"/>
      <c r="AM150" s="749" t="str">
        <f t="shared" si="31"/>
        <v/>
      </c>
      <c r="AN150" s="749"/>
      <c r="AO150" s="748"/>
      <c r="AP150" s="749"/>
      <c r="AQ150" s="749" t="str">
        <f t="shared" si="32"/>
        <v/>
      </c>
      <c r="AR150" s="750"/>
      <c r="AS150" s="751"/>
    </row>
    <row r="151" spans="1:45" x14ac:dyDescent="0.25">
      <c r="A151" s="748">
        <v>74</v>
      </c>
      <c r="B151" s="749" t="s">
        <v>533</v>
      </c>
      <c r="C151" s="749" t="str">
        <f t="shared" si="22"/>
        <v>/</v>
      </c>
      <c r="D151" s="749" t="s">
        <v>534</v>
      </c>
      <c r="E151" s="748"/>
      <c r="F151" s="749"/>
      <c r="G151" s="749" t="str">
        <f t="shared" si="23"/>
        <v/>
      </c>
      <c r="H151" s="749"/>
      <c r="I151" s="748"/>
      <c r="J151" s="749"/>
      <c r="K151" s="749" t="str">
        <f t="shared" si="24"/>
        <v/>
      </c>
      <c r="L151" s="749"/>
      <c r="M151" s="748"/>
      <c r="N151" s="749"/>
      <c r="O151" s="749" t="str">
        <f t="shared" si="25"/>
        <v/>
      </c>
      <c r="P151" s="749"/>
      <c r="Q151" s="748"/>
      <c r="R151" s="749"/>
      <c r="S151" s="749" t="str">
        <f t="shared" si="26"/>
        <v/>
      </c>
      <c r="T151" s="749"/>
      <c r="U151" s="748"/>
      <c r="V151" s="749"/>
      <c r="W151" s="749" t="str">
        <f t="shared" si="27"/>
        <v/>
      </c>
      <c r="X151" s="749"/>
      <c r="Y151" s="748"/>
      <c r="Z151" s="749"/>
      <c r="AA151" s="749" t="str">
        <f t="shared" si="28"/>
        <v/>
      </c>
      <c r="AB151" s="749"/>
      <c r="AC151" s="748"/>
      <c r="AD151" s="749"/>
      <c r="AE151" s="749" t="str">
        <f t="shared" si="29"/>
        <v/>
      </c>
      <c r="AF151" s="749"/>
      <c r="AG151" s="748"/>
      <c r="AH151" s="749"/>
      <c r="AI151" s="749" t="str">
        <f t="shared" si="30"/>
        <v/>
      </c>
      <c r="AJ151" s="749"/>
      <c r="AK151" s="748"/>
      <c r="AL151" s="749"/>
      <c r="AM151" s="749" t="str">
        <f t="shared" si="31"/>
        <v/>
      </c>
      <c r="AN151" s="749"/>
      <c r="AO151" s="748"/>
      <c r="AP151" s="749"/>
      <c r="AQ151" s="749" t="str">
        <f t="shared" si="32"/>
        <v/>
      </c>
      <c r="AR151" s="750"/>
      <c r="AS151" s="751"/>
    </row>
    <row r="152" spans="1:45" x14ac:dyDescent="0.25">
      <c r="A152" s="748"/>
      <c r="B152" s="749"/>
      <c r="C152" s="749" t="str">
        <f t="shared" si="22"/>
        <v/>
      </c>
      <c r="D152" s="749"/>
      <c r="E152" s="748"/>
      <c r="F152" s="749"/>
      <c r="G152" s="749" t="str">
        <f t="shared" si="23"/>
        <v/>
      </c>
      <c r="H152" s="749"/>
      <c r="I152" s="748">
        <v>19</v>
      </c>
      <c r="J152" s="749" t="s">
        <v>535</v>
      </c>
      <c r="K152" s="749" t="str">
        <f t="shared" si="24"/>
        <v>/</v>
      </c>
      <c r="L152" s="749" t="s">
        <v>536</v>
      </c>
      <c r="M152" s="748"/>
      <c r="N152" s="749"/>
      <c r="O152" s="749" t="str">
        <f t="shared" si="25"/>
        <v/>
      </c>
      <c r="P152" s="749"/>
      <c r="Q152" s="748"/>
      <c r="R152" s="749"/>
      <c r="S152" s="749" t="str">
        <f t="shared" si="26"/>
        <v/>
      </c>
      <c r="T152" s="749"/>
      <c r="U152" s="748"/>
      <c r="V152" s="749"/>
      <c r="W152" s="749" t="str">
        <f t="shared" si="27"/>
        <v/>
      </c>
      <c r="X152" s="749"/>
      <c r="Y152" s="748"/>
      <c r="Z152" s="749"/>
      <c r="AA152" s="749" t="str">
        <f t="shared" si="28"/>
        <v/>
      </c>
      <c r="AB152" s="749"/>
      <c r="AC152" s="748"/>
      <c r="AD152" s="749"/>
      <c r="AE152" s="749" t="str">
        <f t="shared" si="29"/>
        <v/>
      </c>
      <c r="AF152" s="749"/>
      <c r="AG152" s="748"/>
      <c r="AH152" s="749"/>
      <c r="AI152" s="749" t="str">
        <f t="shared" si="30"/>
        <v/>
      </c>
      <c r="AJ152" s="749"/>
      <c r="AK152" s="748"/>
      <c r="AL152" s="749"/>
      <c r="AM152" s="749" t="str">
        <f t="shared" si="31"/>
        <v/>
      </c>
      <c r="AN152" s="749"/>
      <c r="AO152" s="748"/>
      <c r="AP152" s="749"/>
      <c r="AQ152" s="749" t="str">
        <f t="shared" si="32"/>
        <v/>
      </c>
      <c r="AR152" s="750"/>
      <c r="AS152" s="751"/>
    </row>
    <row r="153" spans="1:45" x14ac:dyDescent="0.25">
      <c r="A153" s="748">
        <v>75</v>
      </c>
      <c r="B153" s="749" t="s">
        <v>537</v>
      </c>
      <c r="C153" s="749" t="str">
        <f t="shared" si="22"/>
        <v>/</v>
      </c>
      <c r="D153" s="749" t="s">
        <v>538</v>
      </c>
      <c r="E153" s="748"/>
      <c r="F153" s="749"/>
      <c r="G153" s="749" t="str">
        <f t="shared" si="23"/>
        <v/>
      </c>
      <c r="H153" s="749"/>
      <c r="I153" s="748"/>
      <c r="J153" s="749"/>
      <c r="K153" s="749" t="str">
        <f t="shared" si="24"/>
        <v/>
      </c>
      <c r="L153" s="749"/>
      <c r="M153" s="748"/>
      <c r="N153" s="749"/>
      <c r="O153" s="749" t="str">
        <f t="shared" si="25"/>
        <v/>
      </c>
      <c r="P153" s="749"/>
      <c r="Q153" s="748"/>
      <c r="R153" s="749"/>
      <c r="S153" s="749" t="str">
        <f t="shared" si="26"/>
        <v/>
      </c>
      <c r="T153" s="749"/>
      <c r="U153" s="748"/>
      <c r="V153" s="749"/>
      <c r="W153" s="749" t="str">
        <f t="shared" si="27"/>
        <v/>
      </c>
      <c r="X153" s="749"/>
      <c r="Y153" s="748"/>
      <c r="Z153" s="749"/>
      <c r="AA153" s="749" t="str">
        <f t="shared" si="28"/>
        <v/>
      </c>
      <c r="AB153" s="749"/>
      <c r="AC153" s="748"/>
      <c r="AD153" s="749"/>
      <c r="AE153" s="749" t="str">
        <f t="shared" si="29"/>
        <v/>
      </c>
      <c r="AF153" s="749"/>
      <c r="AG153" s="748"/>
      <c r="AH153" s="749"/>
      <c r="AI153" s="749" t="str">
        <f t="shared" si="30"/>
        <v/>
      </c>
      <c r="AJ153" s="749"/>
      <c r="AK153" s="748"/>
      <c r="AL153" s="749"/>
      <c r="AM153" s="749" t="str">
        <f t="shared" si="31"/>
        <v/>
      </c>
      <c r="AN153" s="749"/>
      <c r="AO153" s="748"/>
      <c r="AP153" s="749"/>
      <c r="AQ153" s="749" t="str">
        <f t="shared" si="32"/>
        <v/>
      </c>
      <c r="AR153" s="750"/>
      <c r="AS153" s="751"/>
    </row>
    <row r="154" spans="1:45" x14ac:dyDescent="0.25">
      <c r="A154" s="748"/>
      <c r="B154" s="749"/>
      <c r="C154" s="749" t="str">
        <f t="shared" si="22"/>
        <v/>
      </c>
      <c r="D154" s="749"/>
      <c r="E154" s="748">
        <v>38</v>
      </c>
      <c r="F154" s="749" t="s">
        <v>539</v>
      </c>
      <c r="G154" s="749" t="str">
        <f t="shared" si="23"/>
        <v>/</v>
      </c>
      <c r="H154" s="749" t="s">
        <v>540</v>
      </c>
      <c r="I154" s="748"/>
      <c r="J154" s="749"/>
      <c r="K154" s="749" t="str">
        <f t="shared" si="24"/>
        <v/>
      </c>
      <c r="L154" s="749"/>
      <c r="M154" s="748"/>
      <c r="N154" s="749"/>
      <c r="O154" s="749" t="str">
        <f t="shared" si="25"/>
        <v/>
      </c>
      <c r="P154" s="749"/>
      <c r="Q154" s="748"/>
      <c r="R154" s="749"/>
      <c r="S154" s="749" t="str">
        <f t="shared" si="26"/>
        <v/>
      </c>
      <c r="T154" s="749"/>
      <c r="U154" s="748"/>
      <c r="V154" s="749"/>
      <c r="W154" s="749" t="str">
        <f t="shared" si="27"/>
        <v/>
      </c>
      <c r="X154" s="749"/>
      <c r="Y154" s="748"/>
      <c r="Z154" s="749"/>
      <c r="AA154" s="749" t="str">
        <f t="shared" si="28"/>
        <v/>
      </c>
      <c r="AB154" s="749"/>
      <c r="AC154" s="748"/>
      <c r="AD154" s="749"/>
      <c r="AE154" s="749" t="str">
        <f t="shared" si="29"/>
        <v/>
      </c>
      <c r="AF154" s="749"/>
      <c r="AG154" s="748"/>
      <c r="AH154" s="749"/>
      <c r="AI154" s="749" t="str">
        <f t="shared" si="30"/>
        <v/>
      </c>
      <c r="AJ154" s="749"/>
      <c r="AK154" s="748"/>
      <c r="AL154" s="749"/>
      <c r="AM154" s="749" t="str">
        <f t="shared" si="31"/>
        <v/>
      </c>
      <c r="AN154" s="749"/>
      <c r="AO154" s="748"/>
      <c r="AP154" s="749"/>
      <c r="AQ154" s="749" t="str">
        <f t="shared" si="32"/>
        <v/>
      </c>
      <c r="AR154" s="750"/>
      <c r="AS154" s="751"/>
    </row>
    <row r="155" spans="1:45" ht="15.75" thickBot="1" x14ac:dyDescent="0.3">
      <c r="A155" s="752">
        <v>76</v>
      </c>
      <c r="B155" s="753" t="s">
        <v>541</v>
      </c>
      <c r="C155" s="753" t="str">
        <f t="shared" si="22"/>
        <v>/</v>
      </c>
      <c r="D155" s="753" t="s">
        <v>542</v>
      </c>
      <c r="E155" s="752"/>
      <c r="F155" s="753"/>
      <c r="G155" s="753" t="str">
        <f t="shared" si="23"/>
        <v/>
      </c>
      <c r="H155" s="753"/>
      <c r="I155" s="752"/>
      <c r="J155" s="753"/>
      <c r="K155" s="753" t="str">
        <f t="shared" si="24"/>
        <v/>
      </c>
      <c r="L155" s="753"/>
      <c r="M155" s="752"/>
      <c r="N155" s="753"/>
      <c r="O155" s="753" t="str">
        <f t="shared" si="25"/>
        <v/>
      </c>
      <c r="P155" s="753"/>
      <c r="Q155" s="752"/>
      <c r="R155" s="753"/>
      <c r="S155" s="753" t="str">
        <f t="shared" si="26"/>
        <v/>
      </c>
      <c r="T155" s="753"/>
      <c r="U155" s="752"/>
      <c r="V155" s="753"/>
      <c r="W155" s="753" t="str">
        <f t="shared" si="27"/>
        <v/>
      </c>
      <c r="X155" s="753"/>
      <c r="Y155" s="752"/>
      <c r="Z155" s="753"/>
      <c r="AA155" s="753" t="str">
        <f t="shared" si="28"/>
        <v/>
      </c>
      <c r="AB155" s="753"/>
      <c r="AC155" s="752"/>
      <c r="AD155" s="753"/>
      <c r="AE155" s="753" t="str">
        <f t="shared" si="29"/>
        <v/>
      </c>
      <c r="AF155" s="753"/>
      <c r="AG155" s="752"/>
      <c r="AH155" s="753"/>
      <c r="AI155" s="753" t="str">
        <f t="shared" si="30"/>
        <v/>
      </c>
      <c r="AJ155" s="753"/>
      <c r="AK155" s="752"/>
      <c r="AL155" s="753"/>
      <c r="AM155" s="753" t="str">
        <f t="shared" si="31"/>
        <v/>
      </c>
      <c r="AN155" s="753"/>
      <c r="AO155" s="752"/>
      <c r="AP155" s="753"/>
      <c r="AQ155" s="753" t="str">
        <f t="shared" si="32"/>
        <v/>
      </c>
      <c r="AR155" s="754"/>
      <c r="AS155" s="755"/>
    </row>
  </sheetData>
  <hyperlinks>
    <hyperlink ref="B2" r:id="rId1" xr:uid="{E2383131-0F6F-4350-BB40-AC70164A10E4}"/>
    <hyperlink ref="F2" location="'Oversikt'!A1" display="Oversikt" xr:uid="{E72052A7-33A8-4C38-A5ED-DA926697F88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6731-538E-4940-A28B-712AF599CD9A}">
  <dimension ref="A1:P41"/>
  <sheetViews>
    <sheetView workbookViewId="0">
      <selection activeCell="F10" sqref="F10"/>
    </sheetView>
  </sheetViews>
  <sheetFormatPr baseColWidth="10" defaultColWidth="9.140625" defaultRowHeight="15" x14ac:dyDescent="0.25"/>
  <cols>
    <col min="14" max="14" width="11.5703125" customWidth="1"/>
  </cols>
  <sheetData>
    <row r="1" spans="1:16" ht="18.75" x14ac:dyDescent="0.3">
      <c r="A1" s="471" t="s">
        <v>49</v>
      </c>
      <c r="C1" s="131"/>
      <c r="D1" s="131"/>
      <c r="E1" s="131"/>
      <c r="F1" s="131"/>
      <c r="G1" s="131"/>
      <c r="H1" s="131"/>
      <c r="I1" s="131"/>
      <c r="J1" s="799" t="s">
        <v>50</v>
      </c>
      <c r="P1" s="895"/>
    </row>
    <row r="2" spans="1:16" x14ac:dyDescent="0.25">
      <c r="A2" t="s">
        <v>51</v>
      </c>
      <c r="B2" s="131" t="s">
        <v>52</v>
      </c>
      <c r="C2" s="131">
        <v>141.94999999999999</v>
      </c>
      <c r="D2">
        <v>142.22499999999999</v>
      </c>
      <c r="E2">
        <v>142.30000000000001</v>
      </c>
      <c r="F2" s="131" t="s">
        <v>53</v>
      </c>
      <c r="G2">
        <v>142.9</v>
      </c>
      <c r="P2" s="895"/>
    </row>
    <row r="3" spans="1:16" x14ac:dyDescent="0.25">
      <c r="A3" t="s">
        <v>54</v>
      </c>
      <c r="B3" s="526">
        <v>440.5</v>
      </c>
      <c r="C3" s="131">
        <v>440.625</v>
      </c>
      <c r="D3" s="131" t="s">
        <v>55</v>
      </c>
      <c r="E3">
        <v>444.5</v>
      </c>
      <c r="F3" s="131">
        <v>444.52499999999998</v>
      </c>
      <c r="G3" s="131">
        <v>444.55</v>
      </c>
      <c r="H3">
        <v>444.875</v>
      </c>
      <c r="I3" s="131"/>
      <c r="J3" s="528">
        <v>440.5</v>
      </c>
      <c r="K3" s="527" t="s">
        <v>56</v>
      </c>
      <c r="L3" s="529"/>
      <c r="M3" s="526"/>
      <c r="P3" s="895"/>
    </row>
    <row r="4" spans="1:16" x14ac:dyDescent="0.25">
      <c r="C4" s="131"/>
      <c r="D4" s="131"/>
      <c r="E4" s="131"/>
      <c r="F4" s="131"/>
      <c r="G4" s="131"/>
      <c r="H4" s="131"/>
      <c r="I4" s="131"/>
      <c r="P4" s="895"/>
    </row>
    <row r="5" spans="1:16" ht="18.75" x14ac:dyDescent="0.3">
      <c r="A5" s="471" t="s">
        <v>57</v>
      </c>
      <c r="C5" s="131"/>
      <c r="D5" s="131"/>
      <c r="E5" s="131"/>
      <c r="F5" s="131"/>
      <c r="G5" s="131"/>
      <c r="H5" s="131"/>
      <c r="I5" s="131"/>
      <c r="P5" s="895"/>
    </row>
    <row r="6" spans="1:16" x14ac:dyDescent="0.25">
      <c r="A6" t="s">
        <v>51</v>
      </c>
      <c r="B6" s="131">
        <v>142.02500000000001</v>
      </c>
      <c r="C6" s="131">
        <v>142.17500000000001</v>
      </c>
      <c r="D6" s="131">
        <v>142.42500000000001</v>
      </c>
      <c r="E6" s="131">
        <v>142.80000000000001</v>
      </c>
      <c r="F6" s="131"/>
      <c r="G6" s="131"/>
      <c r="H6" s="131"/>
      <c r="P6" s="895"/>
    </row>
    <row r="7" spans="1:16" x14ac:dyDescent="0.25">
      <c r="A7" t="s">
        <v>54</v>
      </c>
      <c r="B7" s="131">
        <v>440.97500000000002</v>
      </c>
      <c r="C7" s="131">
        <v>441.15</v>
      </c>
      <c r="D7" s="131"/>
      <c r="E7" s="131"/>
      <c r="F7" s="131"/>
      <c r="G7" s="131"/>
      <c r="H7" s="131"/>
      <c r="I7" s="131"/>
      <c r="P7" s="895"/>
    </row>
    <row r="8" spans="1:16" x14ac:dyDescent="0.25">
      <c r="B8" s="131"/>
      <c r="C8" s="131"/>
      <c r="D8" s="131"/>
      <c r="E8" s="131"/>
      <c r="F8" s="131"/>
      <c r="G8" s="131"/>
      <c r="H8" s="131"/>
      <c r="I8" s="131"/>
      <c r="P8" s="895"/>
    </row>
    <row r="9" spans="1:16" ht="18.75" x14ac:dyDescent="0.3">
      <c r="A9" s="471" t="s">
        <v>58</v>
      </c>
      <c r="C9" s="131"/>
      <c r="D9" s="131"/>
      <c r="E9" s="131"/>
      <c r="F9" s="131"/>
      <c r="G9" s="131"/>
      <c r="H9" s="131"/>
      <c r="I9" s="131"/>
      <c r="P9" s="895"/>
    </row>
    <row r="10" spans="1:16" x14ac:dyDescent="0.25">
      <c r="A10" t="s">
        <v>51</v>
      </c>
      <c r="B10" s="131">
        <v>142.02500000000001</v>
      </c>
      <c r="D10" s="898"/>
      <c r="E10" s="131"/>
      <c r="F10" s="131"/>
      <c r="G10" s="131"/>
      <c r="H10" s="131"/>
      <c r="I10" s="131"/>
      <c r="P10" s="895"/>
    </row>
    <row r="11" spans="1:16" x14ac:dyDescent="0.25">
      <c r="A11" t="s">
        <v>54</v>
      </c>
      <c r="B11" s="131">
        <v>441.02499999999998</v>
      </c>
      <c r="C11" s="131"/>
      <c r="D11" s="131"/>
      <c r="E11" s="131"/>
      <c r="F11" s="131"/>
      <c r="G11" s="131"/>
      <c r="H11" s="131"/>
      <c r="I11" s="131"/>
      <c r="P11" s="895"/>
    </row>
    <row r="12" spans="1:16" x14ac:dyDescent="0.25">
      <c r="B12" s="131"/>
      <c r="C12" s="131"/>
      <c r="D12" s="131"/>
      <c r="E12" s="131"/>
      <c r="F12" s="131"/>
      <c r="G12" s="131"/>
      <c r="H12" s="131"/>
      <c r="I12" s="131"/>
      <c r="P12" s="895"/>
    </row>
    <row r="13" spans="1:16" x14ac:dyDescent="0.25">
      <c r="A13" s="525"/>
      <c r="C13" s="131"/>
      <c r="D13" s="131"/>
      <c r="E13" s="131"/>
      <c r="F13" s="131"/>
      <c r="G13" s="131"/>
      <c r="H13" s="131"/>
      <c r="I13" s="131"/>
      <c r="P13" s="895"/>
    </row>
    <row r="14" spans="1:16" x14ac:dyDescent="0.25">
      <c r="B14" s="530"/>
      <c r="C14" s="531"/>
      <c r="D14" s="530"/>
      <c r="E14" s="531"/>
      <c r="F14" s="131"/>
      <c r="G14" s="532"/>
      <c r="H14" s="532"/>
      <c r="I14" s="532"/>
      <c r="J14" s="532"/>
      <c r="K14" s="532"/>
      <c r="L14" s="532"/>
      <c r="M14" s="532"/>
      <c r="N14" s="532"/>
      <c r="P14" s="895"/>
    </row>
    <row r="15" spans="1:16" x14ac:dyDescent="0.25">
      <c r="B15" s="131"/>
      <c r="C15" s="131"/>
      <c r="D15" s="131"/>
      <c r="E15" s="131"/>
      <c r="F15" s="131"/>
      <c r="G15" s="131"/>
      <c r="H15" s="131"/>
      <c r="P15" s="895"/>
    </row>
    <row r="16" spans="1:16" x14ac:dyDescent="0.25">
      <c r="B16" s="131"/>
      <c r="C16" s="131"/>
      <c r="D16" s="131"/>
      <c r="E16" s="131"/>
      <c r="F16" s="131"/>
      <c r="G16" s="131"/>
      <c r="H16" s="131"/>
      <c r="P16" s="895"/>
    </row>
    <row r="17" spans="1:16" ht="18.75" x14ac:dyDescent="0.3">
      <c r="A17" s="471"/>
      <c r="B17" s="471"/>
      <c r="C17" s="894"/>
      <c r="D17" s="471"/>
      <c r="E17" s="471"/>
      <c r="F17" s="471"/>
      <c r="G17" s="471"/>
      <c r="H17" s="471"/>
      <c r="I17" s="471"/>
      <c r="J17" s="471"/>
      <c r="P17" s="895"/>
    </row>
    <row r="18" spans="1:16" x14ac:dyDescent="0.25">
      <c r="B18" s="131"/>
      <c r="C18" s="895"/>
      <c r="D18" s="131"/>
      <c r="E18" s="7"/>
      <c r="F18" s="131"/>
      <c r="G18" s="131"/>
      <c r="H18" s="131"/>
      <c r="P18" s="895"/>
    </row>
    <row r="19" spans="1:16" x14ac:dyDescent="0.25">
      <c r="B19" s="131"/>
      <c r="C19" s="896"/>
      <c r="D19" s="131"/>
      <c r="E19" s="7"/>
      <c r="F19" s="131"/>
      <c r="G19" s="131"/>
      <c r="H19" s="131"/>
      <c r="P19" s="895"/>
    </row>
    <row r="20" spans="1:16" x14ac:dyDescent="0.25">
      <c r="B20" s="131"/>
      <c r="C20" s="896"/>
      <c r="D20" s="131"/>
      <c r="E20" s="7"/>
      <c r="F20" s="131"/>
      <c r="G20" s="131"/>
      <c r="H20" s="131"/>
      <c r="P20" s="895"/>
    </row>
    <row r="21" spans="1:16" x14ac:dyDescent="0.25">
      <c r="B21" s="131"/>
      <c r="C21" s="896"/>
      <c r="D21" s="131"/>
      <c r="E21" s="7"/>
      <c r="F21" s="131"/>
      <c r="G21" s="131"/>
      <c r="H21" s="131"/>
      <c r="P21" s="895"/>
    </row>
    <row r="22" spans="1:16" x14ac:dyDescent="0.25">
      <c r="B22" s="131"/>
      <c r="C22" s="897"/>
      <c r="E22" s="131"/>
      <c r="F22" s="131"/>
      <c r="G22" s="7"/>
      <c r="H22" s="131"/>
      <c r="I22" s="7"/>
      <c r="P22" s="895"/>
    </row>
    <row r="23" spans="1:16" x14ac:dyDescent="0.25">
      <c r="B23" s="131"/>
      <c r="C23" s="897"/>
      <c r="D23" s="131"/>
      <c r="E23" s="7"/>
      <c r="F23" s="131"/>
      <c r="G23" s="131"/>
      <c r="H23" s="131"/>
      <c r="P23" s="895"/>
    </row>
    <row r="24" spans="1:16" x14ac:dyDescent="0.25">
      <c r="B24" s="131"/>
      <c r="C24" s="896"/>
      <c r="D24" s="131"/>
      <c r="E24" s="7"/>
      <c r="F24" s="131"/>
      <c r="G24" s="131"/>
      <c r="H24" s="131"/>
      <c r="P24" s="895"/>
    </row>
    <row r="25" spans="1:16" x14ac:dyDescent="0.25">
      <c r="B25" s="131"/>
      <c r="C25" s="896"/>
      <c r="D25" s="131"/>
      <c r="E25" s="7"/>
      <c r="F25" s="131"/>
      <c r="G25" s="131"/>
      <c r="H25" s="131"/>
      <c r="P25" s="895"/>
    </row>
    <row r="26" spans="1:16" x14ac:dyDescent="0.25">
      <c r="B26" s="131"/>
      <c r="C26" s="896"/>
      <c r="D26" s="131"/>
      <c r="E26" s="7"/>
      <c r="F26" s="131"/>
      <c r="G26" s="131"/>
      <c r="H26" s="131"/>
    </row>
    <row r="27" spans="1:16" x14ac:dyDescent="0.25">
      <c r="B27" s="131"/>
      <c r="C27" s="896"/>
      <c r="D27" s="131"/>
      <c r="E27" s="7"/>
      <c r="F27" s="131"/>
      <c r="G27" s="131"/>
      <c r="H27" s="131"/>
    </row>
    <row r="28" spans="1:16" x14ac:dyDescent="0.25">
      <c r="B28" s="131"/>
      <c r="C28" s="897"/>
      <c r="E28" s="131"/>
      <c r="F28" s="131"/>
      <c r="G28" s="7"/>
      <c r="H28" s="131"/>
      <c r="I28" s="7"/>
    </row>
    <row r="29" spans="1:16" x14ac:dyDescent="0.25">
      <c r="B29" s="131"/>
      <c r="C29" s="897"/>
      <c r="D29" s="131"/>
      <c r="E29" s="7"/>
      <c r="F29" s="131"/>
      <c r="G29" s="131"/>
      <c r="H29" s="131"/>
    </row>
    <row r="30" spans="1:16" x14ac:dyDescent="0.25">
      <c r="B30" s="131"/>
      <c r="C30" s="897"/>
      <c r="D30" s="131"/>
      <c r="E30" s="131"/>
      <c r="F30" s="131"/>
      <c r="G30" s="7"/>
      <c r="H30" s="131"/>
      <c r="I30" s="7"/>
    </row>
    <row r="31" spans="1:16" x14ac:dyDescent="0.25">
      <c r="B31" s="131"/>
      <c r="C31" s="897"/>
      <c r="D31" s="131"/>
      <c r="E31" s="131"/>
      <c r="F31" s="131"/>
      <c r="G31" s="7"/>
      <c r="H31" s="131"/>
      <c r="I31" s="7"/>
    </row>
    <row r="32" spans="1:16" x14ac:dyDescent="0.25">
      <c r="B32" s="131"/>
      <c r="C32" s="897"/>
      <c r="D32" s="131"/>
      <c r="E32" s="131"/>
      <c r="F32" s="131"/>
      <c r="G32" s="7"/>
      <c r="H32" s="131"/>
      <c r="I32" s="7"/>
    </row>
    <row r="33" spans="2:9" x14ac:dyDescent="0.25">
      <c r="B33" s="131"/>
      <c r="C33" s="897"/>
      <c r="D33" s="131"/>
      <c r="E33" s="131"/>
      <c r="F33" s="131"/>
      <c r="G33" s="7"/>
      <c r="H33" s="131"/>
      <c r="I33" s="7"/>
    </row>
    <row r="34" spans="2:9" x14ac:dyDescent="0.25">
      <c r="B34" s="131"/>
      <c r="C34" s="897"/>
      <c r="D34" s="131"/>
      <c r="E34" s="131"/>
      <c r="F34" s="131"/>
      <c r="G34" s="7"/>
      <c r="H34" s="131"/>
    </row>
    <row r="35" spans="2:9" x14ac:dyDescent="0.25">
      <c r="B35" s="131"/>
      <c r="C35" s="897"/>
      <c r="D35" s="131"/>
      <c r="E35" s="131"/>
      <c r="F35" s="131"/>
      <c r="G35" s="7"/>
      <c r="H35" s="131"/>
    </row>
    <row r="36" spans="2:9" x14ac:dyDescent="0.25">
      <c r="C36" s="895"/>
      <c r="E36" s="131"/>
      <c r="F36" s="131"/>
      <c r="G36" s="131"/>
      <c r="H36" s="131"/>
    </row>
    <row r="37" spans="2:9" x14ac:dyDescent="0.25">
      <c r="B37" s="131"/>
      <c r="C37" s="897"/>
      <c r="D37" s="131"/>
      <c r="E37" s="131"/>
      <c r="F37" s="131"/>
      <c r="G37" s="131"/>
      <c r="H37" s="131"/>
    </row>
    <row r="38" spans="2:9" x14ac:dyDescent="0.25">
      <c r="B38" s="131"/>
      <c r="C38" s="897"/>
      <c r="D38" s="131"/>
      <c r="E38" s="131"/>
      <c r="F38" s="131"/>
      <c r="G38" s="131"/>
      <c r="H38" s="131"/>
    </row>
    <row r="39" spans="2:9" x14ac:dyDescent="0.25">
      <c r="B39" s="131"/>
      <c r="C39" s="897"/>
      <c r="D39" s="131"/>
      <c r="E39" s="131"/>
      <c r="F39" s="131"/>
      <c r="G39" s="131"/>
      <c r="H39" s="131"/>
    </row>
    <row r="40" spans="2:9" x14ac:dyDescent="0.25">
      <c r="B40" s="131"/>
      <c r="C40" s="897"/>
      <c r="D40" s="131"/>
      <c r="E40" s="131"/>
      <c r="F40" s="131"/>
      <c r="G40" s="131"/>
      <c r="H40" s="131"/>
    </row>
    <row r="41" spans="2:9" x14ac:dyDescent="0.25">
      <c r="C41" s="895"/>
    </row>
  </sheetData>
  <hyperlinks>
    <hyperlink ref="J1" location="'Oversikt'!A1" display="Oversikt" xr:uid="{C7038947-12C2-4007-BDC6-C3691FC6B4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9953-B21C-49BB-99EF-090FCC22369A}">
  <sheetPr codeName="Ark2">
    <tabColor theme="2" tint="-0.249977111117893"/>
  </sheetPr>
  <dimension ref="A1:J36"/>
  <sheetViews>
    <sheetView zoomScaleNormal="100" workbookViewId="0">
      <selection activeCell="J1" sqref="J1"/>
    </sheetView>
  </sheetViews>
  <sheetFormatPr baseColWidth="10" defaultColWidth="11.42578125" defaultRowHeight="15" x14ac:dyDescent="0.25"/>
  <sheetData>
    <row r="1" spans="1:10" ht="18.75" x14ac:dyDescent="0.3">
      <c r="A1" s="904" t="s">
        <v>59</v>
      </c>
      <c r="B1" s="904"/>
      <c r="C1" s="904"/>
      <c r="D1" s="904"/>
      <c r="E1" s="904"/>
      <c r="F1" s="904"/>
      <c r="G1" s="904"/>
      <c r="H1" s="905"/>
      <c r="J1" s="800" t="s">
        <v>50</v>
      </c>
    </row>
    <row r="2" spans="1:10" x14ac:dyDescent="0.25">
      <c r="A2" s="904"/>
      <c r="B2" s="904"/>
      <c r="C2" s="904"/>
      <c r="D2" s="904"/>
      <c r="E2" s="904"/>
      <c r="F2" s="904"/>
      <c r="G2" s="904"/>
      <c r="H2" s="905"/>
    </row>
    <row r="3" spans="1:10" ht="31.5" x14ac:dyDescent="0.25">
      <c r="A3" s="417" t="s">
        <v>60</v>
      </c>
      <c r="B3" s="436" t="s">
        <v>61</v>
      </c>
      <c r="C3" s="436" t="s">
        <v>62</v>
      </c>
      <c r="D3" s="417" t="s">
        <v>63</v>
      </c>
      <c r="E3" s="417" t="s">
        <v>63</v>
      </c>
      <c r="F3" s="436" t="s">
        <v>64</v>
      </c>
      <c r="G3" s="417" t="s">
        <v>65</v>
      </c>
      <c r="H3" s="435"/>
    </row>
    <row r="4" spans="1:10" x14ac:dyDescent="0.25">
      <c r="A4" s="425">
        <v>438</v>
      </c>
      <c r="B4" s="424"/>
      <c r="C4" s="435"/>
      <c r="D4" s="435"/>
      <c r="E4" s="435"/>
      <c r="F4" s="435"/>
      <c r="G4" s="425">
        <v>445</v>
      </c>
      <c r="H4" s="906" t="s">
        <v>66</v>
      </c>
    </row>
    <row r="5" spans="1:10" x14ac:dyDescent="0.25">
      <c r="A5" s="425"/>
      <c r="B5" s="424"/>
      <c r="C5" s="435"/>
      <c r="D5" s="435"/>
      <c r="E5" s="435"/>
      <c r="F5" s="435"/>
      <c r="G5" s="425"/>
      <c r="H5" s="906"/>
    </row>
    <row r="6" spans="1:10" x14ac:dyDescent="0.25">
      <c r="A6" s="425"/>
      <c r="B6" s="424">
        <v>1</v>
      </c>
      <c r="C6" s="425">
        <v>438.05</v>
      </c>
      <c r="D6" s="907" t="s">
        <v>67</v>
      </c>
      <c r="E6" s="437"/>
      <c r="F6" s="434">
        <v>445.05</v>
      </c>
      <c r="G6" s="425"/>
      <c r="H6" s="906"/>
    </row>
    <row r="7" spans="1:10" x14ac:dyDescent="0.25">
      <c r="A7" s="425"/>
      <c r="B7" s="424"/>
      <c r="C7" s="425"/>
      <c r="D7" s="907"/>
      <c r="E7" s="437"/>
      <c r="F7" s="434"/>
      <c r="G7" s="425"/>
      <c r="H7" s="906"/>
    </row>
    <row r="8" spans="1:10" x14ac:dyDescent="0.25">
      <c r="A8" s="425"/>
      <c r="B8" s="424">
        <v>2</v>
      </c>
      <c r="C8" s="425">
        <v>438.1</v>
      </c>
      <c r="D8" s="907"/>
      <c r="E8" s="437"/>
      <c r="F8" s="434">
        <v>445.1</v>
      </c>
      <c r="G8" s="425"/>
      <c r="H8" s="906"/>
    </row>
    <row r="9" spans="1:10" x14ac:dyDescent="0.25">
      <c r="A9" s="425"/>
      <c r="B9" s="424"/>
      <c r="C9" s="425"/>
      <c r="D9" s="907"/>
      <c r="E9" s="437"/>
      <c r="F9" s="434"/>
      <c r="G9" s="425"/>
      <c r="H9" s="906"/>
    </row>
    <row r="10" spans="1:10" x14ac:dyDescent="0.25">
      <c r="A10" s="425"/>
      <c r="B10" s="424">
        <v>3</v>
      </c>
      <c r="C10" s="425">
        <v>438.15</v>
      </c>
      <c r="D10" s="907"/>
      <c r="E10" s="437"/>
      <c r="F10" s="434">
        <v>445.15</v>
      </c>
      <c r="G10" s="425"/>
      <c r="H10" s="906"/>
    </row>
    <row r="11" spans="1:10" x14ac:dyDescent="0.25">
      <c r="A11" s="425">
        <v>438.2</v>
      </c>
      <c r="B11" s="424"/>
      <c r="C11" s="425"/>
      <c r="D11" s="435"/>
      <c r="E11" s="435"/>
      <c r="F11" s="425"/>
      <c r="G11" s="425">
        <v>445.2</v>
      </c>
      <c r="H11" s="906"/>
    </row>
    <row r="12" spans="1:10" x14ac:dyDescent="0.25">
      <c r="A12" s="425"/>
      <c r="B12" s="424"/>
      <c r="C12" s="425"/>
      <c r="D12" s="435"/>
      <c r="E12" s="435"/>
      <c r="F12" s="425"/>
      <c r="G12" s="425"/>
      <c r="H12" s="432"/>
    </row>
    <row r="13" spans="1:10" x14ac:dyDescent="0.25">
      <c r="A13" s="425"/>
      <c r="B13" s="429">
        <v>1</v>
      </c>
      <c r="C13" s="430">
        <v>438.2</v>
      </c>
      <c r="D13" s="908" t="s">
        <v>68</v>
      </c>
      <c r="E13" s="909" t="s">
        <v>69</v>
      </c>
      <c r="F13" s="910" t="s">
        <v>70</v>
      </c>
      <c r="G13" s="911"/>
      <c r="H13" s="435"/>
    </row>
    <row r="14" spans="1:10" x14ac:dyDescent="0.25">
      <c r="A14" s="425"/>
      <c r="B14" s="429"/>
      <c r="C14" s="430"/>
      <c r="D14" s="908"/>
      <c r="E14" s="909"/>
      <c r="F14" s="910"/>
      <c r="G14" s="911"/>
      <c r="H14" s="435"/>
    </row>
    <row r="15" spans="1:10" x14ac:dyDescent="0.25">
      <c r="A15" s="425"/>
      <c r="B15" s="429">
        <v>2</v>
      </c>
      <c r="C15" s="430">
        <v>438.25</v>
      </c>
      <c r="D15" s="908"/>
      <c r="E15" s="909"/>
      <c r="F15" s="910"/>
      <c r="G15" s="911"/>
      <c r="H15" s="435"/>
    </row>
    <row r="16" spans="1:10" x14ac:dyDescent="0.25">
      <c r="A16" s="425"/>
      <c r="B16" s="429"/>
      <c r="C16" s="430"/>
      <c r="D16" s="908"/>
      <c r="E16" s="909"/>
      <c r="F16" s="910"/>
      <c r="G16" s="911"/>
      <c r="H16" s="435"/>
    </row>
    <row r="17" spans="1:8" x14ac:dyDescent="0.25">
      <c r="A17" s="425"/>
      <c r="B17" s="429">
        <v>3</v>
      </c>
      <c r="C17" s="430">
        <v>438.3</v>
      </c>
      <c r="D17" s="908"/>
      <c r="E17" s="909"/>
      <c r="F17" s="910"/>
      <c r="G17" s="911"/>
      <c r="H17" s="435"/>
    </row>
    <row r="18" spans="1:8" x14ac:dyDescent="0.25">
      <c r="A18" s="425">
        <v>438.3</v>
      </c>
      <c r="B18" s="424"/>
      <c r="C18" s="425"/>
      <c r="D18" s="435"/>
      <c r="E18" s="435"/>
      <c r="F18" s="438"/>
      <c r="G18" s="425">
        <v>445.3</v>
      </c>
      <c r="H18" s="906" t="s">
        <v>71</v>
      </c>
    </row>
    <row r="19" spans="1:8" x14ac:dyDescent="0.25">
      <c r="A19" s="425"/>
      <c r="B19" s="424">
        <v>1</v>
      </c>
      <c r="C19" s="425">
        <v>438.35</v>
      </c>
      <c r="D19" s="912" t="s">
        <v>72</v>
      </c>
      <c r="E19" s="436"/>
      <c r="F19" s="434">
        <v>445.35</v>
      </c>
      <c r="G19" s="425" t="s">
        <v>67</v>
      </c>
      <c r="H19" s="906"/>
    </row>
    <row r="20" spans="1:8" x14ac:dyDescent="0.25">
      <c r="A20" s="425"/>
      <c r="B20" s="424">
        <v>2</v>
      </c>
      <c r="C20" s="425">
        <v>438.4</v>
      </c>
      <c r="D20" s="905"/>
      <c r="E20" s="424"/>
      <c r="F20" s="434">
        <v>445.4</v>
      </c>
      <c r="G20" s="425" t="s">
        <v>67</v>
      </c>
      <c r="H20" s="906"/>
    </row>
    <row r="21" spans="1:8" x14ac:dyDescent="0.25">
      <c r="A21" s="425"/>
      <c r="B21" s="424">
        <v>3</v>
      </c>
      <c r="C21" s="425">
        <v>438.45</v>
      </c>
      <c r="D21" s="905"/>
      <c r="E21" s="424"/>
      <c r="F21" s="434">
        <v>445.45</v>
      </c>
      <c r="G21" s="425" t="s">
        <v>67</v>
      </c>
      <c r="H21" s="906"/>
    </row>
    <row r="22" spans="1:8" x14ac:dyDescent="0.25">
      <c r="A22" s="425"/>
      <c r="B22" s="439">
        <v>4</v>
      </c>
      <c r="C22" s="440">
        <v>438.5</v>
      </c>
      <c r="D22" s="913" t="s">
        <v>73</v>
      </c>
      <c r="E22" s="441"/>
      <c r="F22" s="442">
        <v>445.5</v>
      </c>
      <c r="G22" s="443"/>
      <c r="H22" s="906"/>
    </row>
    <row r="23" spans="1:8" x14ac:dyDescent="0.25">
      <c r="A23" s="425"/>
      <c r="B23" s="444">
        <v>5</v>
      </c>
      <c r="C23" s="443">
        <v>438.55</v>
      </c>
      <c r="D23" s="914"/>
      <c r="E23" s="445"/>
      <c r="F23" s="446">
        <v>445.55</v>
      </c>
      <c r="G23" s="443" t="s">
        <v>74</v>
      </c>
      <c r="H23" s="906"/>
    </row>
    <row r="24" spans="1:8" x14ac:dyDescent="0.25">
      <c r="A24" s="425"/>
      <c r="B24" s="439">
        <v>6</v>
      </c>
      <c r="C24" s="440">
        <v>438.6</v>
      </c>
      <c r="D24" s="914"/>
      <c r="E24" s="445"/>
      <c r="F24" s="442">
        <v>445.6</v>
      </c>
      <c r="G24" s="447"/>
      <c r="H24" s="906"/>
    </row>
    <row r="25" spans="1:8" x14ac:dyDescent="0.25">
      <c r="A25" s="425"/>
      <c r="B25" s="439">
        <v>7</v>
      </c>
      <c r="C25" s="440">
        <v>438.65</v>
      </c>
      <c r="D25" s="914"/>
      <c r="E25" s="445"/>
      <c r="F25" s="442">
        <v>445.65</v>
      </c>
      <c r="G25" s="447"/>
      <c r="H25" s="906"/>
    </row>
    <row r="26" spans="1:8" x14ac:dyDescent="0.25">
      <c r="A26" s="425"/>
      <c r="B26" s="444">
        <v>8</v>
      </c>
      <c r="C26" s="443">
        <v>438.7</v>
      </c>
      <c r="D26" s="914"/>
      <c r="E26" s="445"/>
      <c r="F26" s="446">
        <v>445.7</v>
      </c>
      <c r="G26" s="443" t="s">
        <v>74</v>
      </c>
      <c r="H26" s="906"/>
    </row>
    <row r="27" spans="1:8" x14ac:dyDescent="0.25">
      <c r="A27" s="425"/>
      <c r="B27" s="439">
        <v>9</v>
      </c>
      <c r="C27" s="440">
        <v>438.75</v>
      </c>
      <c r="D27" s="914"/>
      <c r="E27" s="445"/>
      <c r="F27" s="442">
        <v>445.75</v>
      </c>
      <c r="G27" s="447"/>
      <c r="H27" s="906"/>
    </row>
    <row r="28" spans="1:8" x14ac:dyDescent="0.25">
      <c r="A28" s="425"/>
      <c r="B28" s="424">
        <v>10</v>
      </c>
      <c r="C28" s="425">
        <v>438.8</v>
      </c>
      <c r="D28" s="417" t="s">
        <v>75</v>
      </c>
      <c r="E28" s="417"/>
      <c r="F28" s="434">
        <v>445.8</v>
      </c>
      <c r="G28" s="425" t="s">
        <v>67</v>
      </c>
      <c r="H28" s="906"/>
    </row>
    <row r="29" spans="1:8" x14ac:dyDescent="0.25">
      <c r="A29" s="425">
        <v>438.85</v>
      </c>
      <c r="B29" s="424"/>
      <c r="C29" s="425"/>
      <c r="D29" s="435"/>
      <c r="E29" s="435"/>
      <c r="F29" s="425"/>
      <c r="G29" s="425">
        <v>445.85</v>
      </c>
      <c r="H29" s="906"/>
    </row>
    <row r="30" spans="1:8" x14ac:dyDescent="0.25">
      <c r="A30" s="915" t="s">
        <v>76</v>
      </c>
      <c r="B30" s="915"/>
      <c r="C30" s="915"/>
      <c r="D30" s="915"/>
      <c r="E30" s="915"/>
      <c r="F30" s="915"/>
      <c r="G30" s="915"/>
      <c r="H30" s="435"/>
    </row>
    <row r="31" spans="1:8" x14ac:dyDescent="0.25">
      <c r="A31" s="425"/>
      <c r="B31" s="435"/>
      <c r="C31" s="435"/>
      <c r="D31" s="435"/>
      <c r="E31" s="435"/>
      <c r="F31" s="435"/>
      <c r="G31" s="435"/>
      <c r="H31" s="435"/>
    </row>
    <row r="32" spans="1:8" x14ac:dyDescent="0.25">
      <c r="A32" s="435"/>
      <c r="B32" s="435"/>
      <c r="C32" s="435"/>
      <c r="D32" s="435"/>
      <c r="E32" s="435"/>
      <c r="F32" s="435"/>
      <c r="G32" s="435"/>
      <c r="H32" s="435"/>
    </row>
    <row r="33" spans="1:8" x14ac:dyDescent="0.25">
      <c r="A33" s="435" t="s">
        <v>77</v>
      </c>
      <c r="B33" s="435"/>
      <c r="C33" s="435"/>
      <c r="D33" s="435"/>
      <c r="E33" s="435"/>
      <c r="F33" s="435"/>
      <c r="G33" s="435"/>
      <c r="H33" s="435"/>
    </row>
    <row r="34" spans="1:8" x14ac:dyDescent="0.25">
      <c r="A34" s="435" t="s">
        <v>78</v>
      </c>
      <c r="B34" s="435"/>
      <c r="C34" s="435"/>
      <c r="D34" s="435"/>
      <c r="E34" s="435"/>
      <c r="F34" s="435"/>
      <c r="G34" s="435"/>
      <c r="H34" s="435"/>
    </row>
    <row r="35" spans="1:8" x14ac:dyDescent="0.25">
      <c r="A35" s="435"/>
      <c r="B35" s="435"/>
      <c r="C35" s="435"/>
      <c r="D35" s="435"/>
      <c r="E35" s="435"/>
      <c r="F35" s="435"/>
      <c r="G35" s="435"/>
      <c r="H35" s="435"/>
    </row>
    <row r="36" spans="1:8" x14ac:dyDescent="0.25">
      <c r="A36" s="916" t="s">
        <v>79</v>
      </c>
      <c r="B36" s="916"/>
      <c r="C36" s="916"/>
      <c r="D36" s="916"/>
      <c r="E36" s="448"/>
      <c r="F36" s="435"/>
      <c r="G36" s="435"/>
      <c r="H36" s="435"/>
    </row>
  </sheetData>
  <mergeCells count="13">
    <mergeCell ref="H18:H29"/>
    <mergeCell ref="D19:D21"/>
    <mergeCell ref="D22:D27"/>
    <mergeCell ref="A30:G30"/>
    <mergeCell ref="A36:D36"/>
    <mergeCell ref="A1:G2"/>
    <mergeCell ref="H1:H2"/>
    <mergeCell ref="H4:H11"/>
    <mergeCell ref="D6:D10"/>
    <mergeCell ref="D13:D17"/>
    <mergeCell ref="E13:E17"/>
    <mergeCell ref="F13:F17"/>
    <mergeCell ref="G13:G17"/>
  </mergeCells>
  <hyperlinks>
    <hyperlink ref="A36:D36" location="'438,9-439,6 &gt;&lt; 445,9-446,6 MHz'!A1" display="Se neste ark for videre plan i båndet." xr:uid="{FCBE92F2-813D-4754-8D3E-4A8C0F5788B4}"/>
    <hyperlink ref="J1" location="'Oversikt'!A1" display="Oversikt" xr:uid="{DE221890-52F2-4B5C-A173-C550D0DE25B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AB26-875F-4067-9B7A-53043418ADE2}">
  <sheetPr codeName="Ark3">
    <tabColor theme="3" tint="0.59999389629810485"/>
  </sheetPr>
  <dimension ref="A1:P28"/>
  <sheetViews>
    <sheetView workbookViewId="0">
      <selection activeCell="J21" sqref="J21"/>
    </sheetView>
  </sheetViews>
  <sheetFormatPr baseColWidth="10" defaultColWidth="11.42578125" defaultRowHeight="15" x14ac:dyDescent="0.25"/>
  <sheetData>
    <row r="1" spans="1:16" ht="33.75" x14ac:dyDescent="0.3">
      <c r="A1" s="760" t="s">
        <v>60</v>
      </c>
      <c r="B1" s="761" t="s">
        <v>61</v>
      </c>
      <c r="C1" s="761" t="s">
        <v>62</v>
      </c>
      <c r="D1" s="760" t="s">
        <v>63</v>
      </c>
      <c r="E1" s="761" t="s">
        <v>64</v>
      </c>
      <c r="F1" s="760" t="s">
        <v>65</v>
      </c>
      <c r="G1" s="762"/>
      <c r="H1" s="763" t="s">
        <v>80</v>
      </c>
      <c r="I1" s="525"/>
      <c r="J1" s="525"/>
      <c r="K1" s="525"/>
      <c r="L1" s="525"/>
      <c r="M1" s="525"/>
      <c r="N1" s="525"/>
      <c r="P1" s="800" t="s">
        <v>50</v>
      </c>
    </row>
    <row r="2" spans="1:16" x14ac:dyDescent="0.25">
      <c r="A2" s="404" t="s">
        <v>81</v>
      </c>
      <c r="B2" s="424"/>
      <c r="C2" s="425"/>
      <c r="D2" s="426"/>
      <c r="E2" s="427"/>
      <c r="F2" s="404" t="s">
        <v>82</v>
      </c>
      <c r="G2" s="428"/>
      <c r="H2" s="428"/>
    </row>
    <row r="3" spans="1:16" x14ac:dyDescent="0.25">
      <c r="A3" s="425"/>
      <c r="B3" s="429">
        <v>1</v>
      </c>
      <c r="C3" s="430">
        <v>439</v>
      </c>
      <c r="D3" s="917" t="s">
        <v>83</v>
      </c>
      <c r="E3" s="910"/>
      <c r="F3" s="911" t="s">
        <v>84</v>
      </c>
      <c r="H3" s="920" t="s">
        <v>85</v>
      </c>
      <c r="I3" s="921"/>
      <c r="J3" s="921"/>
      <c r="K3" s="921"/>
      <c r="L3" s="922"/>
      <c r="M3" s="922"/>
      <c r="N3" s="922"/>
    </row>
    <row r="4" spans="1:16" x14ac:dyDescent="0.25">
      <c r="A4" s="425"/>
      <c r="B4" s="429">
        <v>2</v>
      </c>
      <c r="C4" s="430">
        <v>439.02499999999998</v>
      </c>
      <c r="D4" s="918"/>
      <c r="E4" s="910"/>
      <c r="F4" s="911"/>
      <c r="H4" s="921"/>
      <c r="I4" s="921"/>
      <c r="J4" s="921"/>
      <c r="K4" s="921"/>
      <c r="L4" s="922"/>
      <c r="M4" s="922"/>
      <c r="N4" s="922"/>
    </row>
    <row r="5" spans="1:16" x14ac:dyDescent="0.25">
      <c r="A5" s="425"/>
      <c r="B5" s="429">
        <v>3</v>
      </c>
      <c r="C5" s="430">
        <v>439.05</v>
      </c>
      <c r="D5" s="918"/>
      <c r="E5" s="910"/>
      <c r="F5" s="911"/>
      <c r="H5" s="921"/>
      <c r="I5" s="921"/>
      <c r="J5" s="921"/>
      <c r="K5" s="921"/>
      <c r="L5" s="922"/>
      <c r="M5" s="922"/>
      <c r="N5" s="922"/>
    </row>
    <row r="6" spans="1:16" x14ac:dyDescent="0.25">
      <c r="A6" s="425"/>
      <c r="B6" s="429">
        <v>4</v>
      </c>
      <c r="C6" s="430">
        <v>439.07499999999999</v>
      </c>
      <c r="D6" s="918"/>
      <c r="E6" s="910"/>
      <c r="F6" s="911"/>
      <c r="H6" s="921"/>
      <c r="I6" s="921"/>
      <c r="J6" s="921"/>
      <c r="K6" s="921"/>
      <c r="L6" s="922"/>
      <c r="M6" s="922"/>
      <c r="N6" s="922"/>
    </row>
    <row r="7" spans="1:16" x14ac:dyDescent="0.25">
      <c r="A7" s="425">
        <v>439.1</v>
      </c>
      <c r="B7" s="429">
        <v>5</v>
      </c>
      <c r="C7" s="430">
        <v>439.1</v>
      </c>
      <c r="D7" s="918"/>
      <c r="E7" s="431"/>
      <c r="F7" s="911"/>
      <c r="G7" s="906" t="s">
        <v>86</v>
      </c>
    </row>
    <row r="8" spans="1:16" x14ac:dyDescent="0.25">
      <c r="A8" s="425"/>
      <c r="B8" s="429">
        <v>6</v>
      </c>
      <c r="C8" s="430">
        <v>439.125</v>
      </c>
      <c r="D8" s="918"/>
      <c r="E8" s="433"/>
      <c r="F8" s="911"/>
      <c r="G8" s="906"/>
      <c r="H8" s="923" t="s">
        <v>87</v>
      </c>
      <c r="I8" s="924"/>
      <c r="J8" s="924"/>
      <c r="K8" s="924"/>
      <c r="L8" s="925"/>
      <c r="M8" s="925"/>
      <c r="N8" s="925"/>
    </row>
    <row r="9" spans="1:16" x14ac:dyDescent="0.25">
      <c r="A9" s="425"/>
      <c r="B9" s="429">
        <v>7</v>
      </c>
      <c r="C9" s="430">
        <v>439.15</v>
      </c>
      <c r="D9" s="918"/>
      <c r="E9" s="433"/>
      <c r="F9" s="911"/>
      <c r="G9" s="906"/>
      <c r="H9" s="924"/>
      <c r="I9" s="924"/>
      <c r="J9" s="924"/>
      <c r="K9" s="924"/>
      <c r="L9" s="925"/>
      <c r="M9" s="925"/>
      <c r="N9" s="925"/>
    </row>
    <row r="10" spans="1:16" x14ac:dyDescent="0.25">
      <c r="A10" s="425"/>
      <c r="B10" s="429">
        <v>8</v>
      </c>
      <c r="C10" s="430">
        <v>439.17500000000001</v>
      </c>
      <c r="D10" s="918"/>
      <c r="E10" s="433"/>
      <c r="F10" s="911"/>
      <c r="G10" s="906"/>
      <c r="H10" s="924"/>
      <c r="I10" s="924"/>
      <c r="J10" s="924"/>
      <c r="K10" s="924"/>
      <c r="L10" s="925"/>
      <c r="M10" s="925"/>
      <c r="N10" s="925"/>
    </row>
    <row r="11" spans="1:16" x14ac:dyDescent="0.25">
      <c r="A11" s="425"/>
      <c r="B11" s="429">
        <v>9</v>
      </c>
      <c r="C11" s="430">
        <v>439.2</v>
      </c>
      <c r="D11" s="919"/>
      <c r="E11" s="433"/>
      <c r="F11" s="911"/>
      <c r="G11" s="906"/>
      <c r="H11" s="924"/>
      <c r="I11" s="924"/>
      <c r="J11" s="924"/>
      <c r="K11" s="924"/>
      <c r="L11" s="925"/>
      <c r="M11" s="925"/>
      <c r="N11" s="925"/>
    </row>
    <row r="12" spans="1:16" x14ac:dyDescent="0.25">
      <c r="A12" s="425"/>
      <c r="B12" s="424">
        <v>1</v>
      </c>
      <c r="C12" s="425">
        <v>439.22500000000002</v>
      </c>
      <c r="D12" s="926" t="s">
        <v>88</v>
      </c>
      <c r="E12" s="434">
        <v>446.22500000000002</v>
      </c>
      <c r="F12" s="425"/>
      <c r="G12" s="906"/>
      <c r="H12" s="435"/>
    </row>
    <row r="13" spans="1:16" x14ac:dyDescent="0.25">
      <c r="A13" s="425"/>
      <c r="B13" s="424">
        <v>2</v>
      </c>
      <c r="C13" s="425">
        <v>439.25</v>
      </c>
      <c r="D13" s="927"/>
      <c r="E13" s="434">
        <v>446.25</v>
      </c>
      <c r="F13" s="425"/>
      <c r="G13" s="906"/>
      <c r="H13" s="435"/>
    </row>
    <row r="14" spans="1:16" x14ac:dyDescent="0.25">
      <c r="A14" s="425"/>
      <c r="B14" s="424">
        <v>3</v>
      </c>
      <c r="C14" s="425">
        <v>439.27499999999998</v>
      </c>
      <c r="D14" s="927"/>
      <c r="E14" s="434">
        <v>446.27499999999998</v>
      </c>
      <c r="F14" s="425"/>
      <c r="G14" s="906"/>
      <c r="H14" s="435"/>
    </row>
    <row r="15" spans="1:16" x14ac:dyDescent="0.25">
      <c r="A15" s="425"/>
      <c r="B15" s="424">
        <v>4</v>
      </c>
      <c r="C15" s="425">
        <v>439.3</v>
      </c>
      <c r="D15" s="927"/>
      <c r="E15" s="434">
        <v>446.3</v>
      </c>
      <c r="F15" s="425"/>
      <c r="G15" s="906"/>
      <c r="H15" s="435"/>
    </row>
    <row r="16" spans="1:16" x14ac:dyDescent="0.25">
      <c r="A16" s="425"/>
      <c r="B16" s="424">
        <v>5</v>
      </c>
      <c r="C16" s="425">
        <v>439.32499999999999</v>
      </c>
      <c r="D16" s="927"/>
      <c r="E16" s="434">
        <v>446.32499999999999</v>
      </c>
      <c r="F16" s="425"/>
      <c r="G16" s="906"/>
      <c r="H16" s="435"/>
    </row>
    <row r="17" spans="1:8" x14ac:dyDescent="0.25">
      <c r="A17" s="425"/>
      <c r="B17" s="424">
        <v>6</v>
      </c>
      <c r="C17" s="425">
        <v>439.35</v>
      </c>
      <c r="D17" s="927"/>
      <c r="E17" s="434">
        <v>446.35</v>
      </c>
      <c r="F17" s="425"/>
      <c r="G17" s="906"/>
      <c r="H17" s="435"/>
    </row>
    <row r="18" spans="1:8" x14ac:dyDescent="0.25">
      <c r="A18" s="425"/>
      <c r="B18" s="424">
        <v>7</v>
      </c>
      <c r="C18" s="425">
        <v>439.375</v>
      </c>
      <c r="D18" s="927"/>
      <c r="E18" s="434">
        <v>446.375</v>
      </c>
      <c r="F18" s="425"/>
      <c r="G18" s="906"/>
      <c r="H18" s="435"/>
    </row>
    <row r="19" spans="1:8" x14ac:dyDescent="0.25">
      <c r="A19" s="425"/>
      <c r="B19" s="424">
        <v>8</v>
      </c>
      <c r="C19" s="425">
        <v>439.4</v>
      </c>
      <c r="D19" s="927"/>
      <c r="E19" s="434">
        <v>446.4</v>
      </c>
      <c r="F19" s="425"/>
      <c r="G19" s="906"/>
      <c r="H19" s="435"/>
    </row>
    <row r="20" spans="1:8" x14ac:dyDescent="0.25">
      <c r="A20" s="425"/>
      <c r="B20" s="424">
        <v>9</v>
      </c>
      <c r="C20" s="425">
        <v>439.42500000000001</v>
      </c>
      <c r="D20" s="927"/>
      <c r="E20" s="434">
        <v>446.42500000000001</v>
      </c>
      <c r="F20" s="425"/>
      <c r="G20" s="906"/>
      <c r="H20" s="435"/>
    </row>
    <row r="21" spans="1:8" x14ac:dyDescent="0.25">
      <c r="A21" s="425"/>
      <c r="B21" s="424">
        <v>10</v>
      </c>
      <c r="C21" s="425">
        <v>439.45</v>
      </c>
      <c r="D21" s="927"/>
      <c r="E21" s="434">
        <v>446.45</v>
      </c>
      <c r="F21" s="425"/>
      <c r="G21" s="906"/>
      <c r="H21" s="435"/>
    </row>
    <row r="22" spans="1:8" x14ac:dyDescent="0.25">
      <c r="A22" s="425"/>
      <c r="B22" s="424">
        <v>11</v>
      </c>
      <c r="C22" s="425">
        <v>439.47500000000002</v>
      </c>
      <c r="D22" s="927"/>
      <c r="E22" s="434">
        <v>446.47500000000002</v>
      </c>
      <c r="F22" s="425"/>
      <c r="G22" s="906"/>
      <c r="H22" s="435"/>
    </row>
    <row r="23" spans="1:8" x14ac:dyDescent="0.25">
      <c r="A23" s="425"/>
      <c r="B23" s="424">
        <v>12</v>
      </c>
      <c r="C23" s="425">
        <v>439.5</v>
      </c>
      <c r="D23" s="927"/>
      <c r="E23" s="434">
        <v>446.5</v>
      </c>
      <c r="F23" s="425"/>
      <c r="G23" s="906"/>
      <c r="H23" s="435"/>
    </row>
    <row r="24" spans="1:8" x14ac:dyDescent="0.25">
      <c r="A24" s="425"/>
      <c r="B24" s="424">
        <v>13</v>
      </c>
      <c r="C24" s="425">
        <v>439.52499999999998</v>
      </c>
      <c r="D24" s="927"/>
      <c r="E24" s="434">
        <v>446.52499999999998</v>
      </c>
      <c r="F24" s="425"/>
      <c r="G24" s="906"/>
      <c r="H24" s="435"/>
    </row>
    <row r="25" spans="1:8" x14ac:dyDescent="0.25">
      <c r="A25" s="435"/>
      <c r="B25" s="424">
        <v>14</v>
      </c>
      <c r="C25" s="425">
        <v>439.55</v>
      </c>
      <c r="D25" s="927"/>
      <c r="E25" s="434">
        <v>446.55</v>
      </c>
      <c r="F25" s="425"/>
      <c r="G25" s="906"/>
      <c r="H25" s="435"/>
    </row>
    <row r="26" spans="1:8" x14ac:dyDescent="0.25">
      <c r="A26" s="435"/>
      <c r="B26" s="424">
        <v>15</v>
      </c>
      <c r="C26" s="425">
        <v>439.57499999999999</v>
      </c>
      <c r="D26" s="928"/>
      <c r="E26" s="434">
        <v>446.57499999999999</v>
      </c>
      <c r="F26" s="425"/>
      <c r="G26" s="435"/>
      <c r="H26" s="435"/>
    </row>
    <row r="27" spans="1:8" x14ac:dyDescent="0.25">
      <c r="A27" s="425">
        <v>439.6</v>
      </c>
      <c r="B27" s="424"/>
      <c r="C27" s="425"/>
      <c r="D27" s="435"/>
      <c r="E27" s="425"/>
      <c r="F27" s="434">
        <v>446.6</v>
      </c>
      <c r="G27" s="435"/>
      <c r="H27" s="435"/>
    </row>
    <row r="28" spans="1:8" x14ac:dyDescent="0.25">
      <c r="A28" s="915" t="s">
        <v>89</v>
      </c>
      <c r="B28" s="915"/>
      <c r="C28" s="915"/>
      <c r="D28" s="915"/>
      <c r="E28" s="915"/>
      <c r="F28" s="915"/>
      <c r="G28" s="435"/>
      <c r="H28" s="435"/>
    </row>
  </sheetData>
  <mergeCells count="8">
    <mergeCell ref="A28:F28"/>
    <mergeCell ref="D3:D11"/>
    <mergeCell ref="E3:E6"/>
    <mergeCell ref="F3:F11"/>
    <mergeCell ref="H3:N6"/>
    <mergeCell ref="G7:G25"/>
    <mergeCell ref="H8:N11"/>
    <mergeCell ref="D12:D26"/>
  </mergeCells>
  <hyperlinks>
    <hyperlink ref="P1" location="'Oversikt'!A1" display="Oversikt" xr:uid="{18C20340-29F2-4F25-A92C-A4860C5E608C}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0A45-1E1B-4EC6-A8EC-E373E542B8A3}">
  <sheetPr codeName="Ark4">
    <tabColor theme="4" tint="0.59999389629810485"/>
  </sheetPr>
  <dimension ref="A1:K84"/>
  <sheetViews>
    <sheetView zoomScale="115" zoomScaleNormal="115" workbookViewId="0">
      <pane ySplit="1" topLeftCell="A2" activePane="bottomLeft" state="frozenSplit"/>
      <selection pane="bottomLeft" activeCell="K1" sqref="K1"/>
    </sheetView>
  </sheetViews>
  <sheetFormatPr baseColWidth="10" defaultColWidth="11.42578125" defaultRowHeight="15" x14ac:dyDescent="0.25"/>
  <sheetData>
    <row r="1" spans="1:11" ht="44.25" x14ac:dyDescent="0.3">
      <c r="A1" s="764" t="s">
        <v>90</v>
      </c>
      <c r="B1" s="765" t="s">
        <v>91</v>
      </c>
      <c r="C1" s="766" t="s">
        <v>92</v>
      </c>
      <c r="D1" s="766" t="s">
        <v>93</v>
      </c>
      <c r="E1" s="767"/>
      <c r="F1" s="768" t="s">
        <v>94</v>
      </c>
      <c r="G1" s="764" t="s">
        <v>95</v>
      </c>
      <c r="H1" s="764" t="s">
        <v>96</v>
      </c>
      <c r="K1" s="800" t="s">
        <v>50</v>
      </c>
    </row>
    <row r="2" spans="1:11" x14ac:dyDescent="0.25">
      <c r="A2" s="404">
        <v>442</v>
      </c>
      <c r="B2" s="405"/>
      <c r="C2" s="406" t="s">
        <v>97</v>
      </c>
      <c r="D2" s="407" t="s">
        <v>98</v>
      </c>
      <c r="E2" s="408" t="s">
        <v>99</v>
      </c>
      <c r="F2" s="409" t="s">
        <v>98</v>
      </c>
      <c r="G2" s="406" t="s">
        <v>97</v>
      </c>
      <c r="H2" s="410">
        <v>447</v>
      </c>
    </row>
    <row r="3" spans="1:11" x14ac:dyDescent="0.25">
      <c r="A3" s="404"/>
      <c r="B3" s="405"/>
      <c r="C3" s="406"/>
      <c r="D3" s="411">
        <v>442.00625000000002</v>
      </c>
      <c r="E3" s="412">
        <v>1</v>
      </c>
      <c r="F3" s="413">
        <v>447.00625000000002</v>
      </c>
      <c r="G3" s="406"/>
      <c r="H3" s="410"/>
    </row>
    <row r="4" spans="1:11" x14ac:dyDescent="0.25">
      <c r="A4" s="932"/>
      <c r="B4" s="930">
        <v>1</v>
      </c>
      <c r="C4" s="931">
        <v>442.02499999999998</v>
      </c>
      <c r="D4" s="411">
        <f>C4-0.00625</f>
        <v>442.01874999999995</v>
      </c>
      <c r="E4" s="412">
        <v>2</v>
      </c>
      <c r="F4" s="413">
        <f>G4-0.00625</f>
        <v>447.01874999999995</v>
      </c>
      <c r="G4" s="929">
        <v>447.02499999999998</v>
      </c>
      <c r="H4" s="935" t="s">
        <v>100</v>
      </c>
    </row>
    <row r="5" spans="1:11" x14ac:dyDescent="0.25">
      <c r="A5" s="932"/>
      <c r="B5" s="930"/>
      <c r="C5" s="931"/>
      <c r="D5" s="411">
        <f>C4+0.00625</f>
        <v>442.03125</v>
      </c>
      <c r="E5" s="412">
        <v>3</v>
      </c>
      <c r="F5" s="413">
        <f>G4+0.00625</f>
        <v>447.03125</v>
      </c>
      <c r="G5" s="929"/>
      <c r="H5" s="935"/>
    </row>
    <row r="6" spans="1:11" x14ac:dyDescent="0.25">
      <c r="A6" s="932"/>
      <c r="B6" s="930">
        <v>2</v>
      </c>
      <c r="C6" s="931">
        <v>442.05</v>
      </c>
      <c r="D6" s="411">
        <f>C6-0.00625</f>
        <v>442.04374999999999</v>
      </c>
      <c r="E6" s="412">
        <v>4</v>
      </c>
      <c r="F6" s="413">
        <f>G6-0.00625</f>
        <v>447.04374999999999</v>
      </c>
      <c r="G6" s="929">
        <v>447.05</v>
      </c>
      <c r="H6" s="935"/>
    </row>
    <row r="7" spans="1:11" x14ac:dyDescent="0.25">
      <c r="A7" s="932"/>
      <c r="B7" s="930"/>
      <c r="C7" s="931"/>
      <c r="D7" s="411">
        <f>C6+0.00625</f>
        <v>442.05625000000003</v>
      </c>
      <c r="E7" s="412">
        <v>5</v>
      </c>
      <c r="F7" s="413">
        <f>G6+0.00625</f>
        <v>447.05625000000003</v>
      </c>
      <c r="G7" s="929"/>
      <c r="H7" s="935"/>
    </row>
    <row r="8" spans="1:11" x14ac:dyDescent="0.25">
      <c r="A8" s="932"/>
      <c r="B8" s="930">
        <v>3</v>
      </c>
      <c r="C8" s="931">
        <v>442.07499999999999</v>
      </c>
      <c r="D8" s="411">
        <f>C8-0.00625</f>
        <v>442.06874999999997</v>
      </c>
      <c r="E8" s="412">
        <v>6</v>
      </c>
      <c r="F8" s="413">
        <f>G8-0.00625</f>
        <v>447.06874999999997</v>
      </c>
      <c r="G8" s="929">
        <v>447.07499999999999</v>
      </c>
      <c r="H8" s="935"/>
    </row>
    <row r="9" spans="1:11" x14ac:dyDescent="0.25">
      <c r="A9" s="932"/>
      <c r="B9" s="930"/>
      <c r="C9" s="931"/>
      <c r="D9" s="411">
        <f>C8+0.00625</f>
        <v>442.08125000000001</v>
      </c>
      <c r="E9" s="412">
        <v>7</v>
      </c>
      <c r="F9" s="413">
        <f>G8+0.00625</f>
        <v>447.08125000000001</v>
      </c>
      <c r="G9" s="929"/>
      <c r="H9" s="935"/>
    </row>
    <row r="10" spans="1:11" x14ac:dyDescent="0.25">
      <c r="A10" s="932"/>
      <c r="B10" s="930">
        <v>4</v>
      </c>
      <c r="C10" s="931">
        <v>442.1</v>
      </c>
      <c r="D10" s="411">
        <f>C10-0.00625</f>
        <v>442.09375</v>
      </c>
      <c r="E10" s="412">
        <v>8</v>
      </c>
      <c r="F10" s="413">
        <f>G10-0.00625</f>
        <v>447.09375</v>
      </c>
      <c r="G10" s="929">
        <v>447.1</v>
      </c>
      <c r="H10" s="935"/>
    </row>
    <row r="11" spans="1:11" x14ac:dyDescent="0.25">
      <c r="A11" s="932"/>
      <c r="B11" s="930"/>
      <c r="C11" s="931"/>
      <c r="D11" s="411">
        <f>C10+0.00625</f>
        <v>442.10625000000005</v>
      </c>
      <c r="E11" s="412">
        <v>9</v>
      </c>
      <c r="F11" s="413">
        <f>G10+0.00625</f>
        <v>447.10625000000005</v>
      </c>
      <c r="G11" s="929"/>
      <c r="H11" s="935"/>
    </row>
    <row r="12" spans="1:11" x14ac:dyDescent="0.25">
      <c r="A12" s="932"/>
      <c r="B12" s="930">
        <v>5</v>
      </c>
      <c r="C12" s="931">
        <v>442.125</v>
      </c>
      <c r="D12" s="411">
        <f>C12-0.00625</f>
        <v>442.11874999999998</v>
      </c>
      <c r="E12" s="412">
        <v>10</v>
      </c>
      <c r="F12" s="413">
        <f>G12-0.00625</f>
        <v>447.11874999999998</v>
      </c>
      <c r="G12" s="929">
        <v>447.125</v>
      </c>
      <c r="H12" s="935"/>
    </row>
    <row r="13" spans="1:11" x14ac:dyDescent="0.25">
      <c r="A13" s="932"/>
      <c r="B13" s="930"/>
      <c r="C13" s="931"/>
      <c r="D13" s="411">
        <f>C12+0.00625</f>
        <v>442.13125000000002</v>
      </c>
      <c r="E13" s="412">
        <v>11</v>
      </c>
      <c r="F13" s="413">
        <f>G12+0.00625</f>
        <v>447.13125000000002</v>
      </c>
      <c r="G13" s="929"/>
      <c r="H13" s="935"/>
    </row>
    <row r="14" spans="1:11" x14ac:dyDescent="0.25">
      <c r="A14" s="932"/>
      <c r="B14" s="930">
        <v>6</v>
      </c>
      <c r="C14" s="931">
        <v>442.15</v>
      </c>
      <c r="D14" s="411">
        <f>C14-0.00625</f>
        <v>442.14374999999995</v>
      </c>
      <c r="E14" s="412">
        <v>12</v>
      </c>
      <c r="F14" s="413">
        <f>G14-0.00625</f>
        <v>447.14374999999995</v>
      </c>
      <c r="G14" s="929">
        <v>447.15</v>
      </c>
      <c r="H14" s="935"/>
    </row>
    <row r="15" spans="1:11" x14ac:dyDescent="0.25">
      <c r="A15" s="932"/>
      <c r="B15" s="930"/>
      <c r="C15" s="931"/>
      <c r="D15" s="411">
        <f>C14+0.00625</f>
        <v>442.15625</v>
      </c>
      <c r="E15" s="412">
        <v>13</v>
      </c>
      <c r="F15" s="413">
        <f>G14+0.00625</f>
        <v>447.15625</v>
      </c>
      <c r="G15" s="929"/>
      <c r="H15" s="935"/>
    </row>
    <row r="16" spans="1:11" x14ac:dyDescent="0.25">
      <c r="A16" s="932"/>
      <c r="B16" s="930">
        <v>7</v>
      </c>
      <c r="C16" s="931">
        <v>442.17500000000001</v>
      </c>
      <c r="D16" s="411">
        <f>C16-0.00625</f>
        <v>442.16874999999999</v>
      </c>
      <c r="E16" s="412">
        <v>14</v>
      </c>
      <c r="F16" s="413">
        <f>G16-0.00625</f>
        <v>447.16874999999999</v>
      </c>
      <c r="G16" s="929">
        <v>447.17500000000001</v>
      </c>
      <c r="H16" s="935"/>
    </row>
    <row r="17" spans="1:8" x14ac:dyDescent="0.25">
      <c r="A17" s="932"/>
      <c r="B17" s="930"/>
      <c r="C17" s="931"/>
      <c r="D17" s="411">
        <f>C16+0.00625</f>
        <v>442.18125000000003</v>
      </c>
      <c r="E17" s="412">
        <v>15</v>
      </c>
      <c r="F17" s="413">
        <f>G16+0.00625</f>
        <v>447.18125000000003</v>
      </c>
      <c r="G17" s="929"/>
      <c r="H17" s="935"/>
    </row>
    <row r="18" spans="1:8" x14ac:dyDescent="0.25">
      <c r="A18" s="932"/>
      <c r="B18" s="930">
        <v>8</v>
      </c>
      <c r="C18" s="931">
        <v>442.2</v>
      </c>
      <c r="D18" s="411">
        <f>C18-0.00625</f>
        <v>442.19374999999997</v>
      </c>
      <c r="E18" s="412">
        <v>16</v>
      </c>
      <c r="F18" s="413">
        <f>G18-0.00625</f>
        <v>447.19374999999997</v>
      </c>
      <c r="G18" s="929">
        <v>447.2</v>
      </c>
      <c r="H18" s="935"/>
    </row>
    <row r="19" spans="1:8" x14ac:dyDescent="0.25">
      <c r="A19" s="932"/>
      <c r="B19" s="930"/>
      <c r="C19" s="931"/>
      <c r="D19" s="411">
        <f>C18+0.00625</f>
        <v>442.20625000000001</v>
      </c>
      <c r="E19" s="412">
        <v>17</v>
      </c>
      <c r="F19" s="413">
        <f>G18+0.00625</f>
        <v>447.20625000000001</v>
      </c>
      <c r="G19" s="929"/>
      <c r="H19" s="935"/>
    </row>
    <row r="20" spans="1:8" x14ac:dyDescent="0.25">
      <c r="A20" s="932"/>
      <c r="B20" s="930">
        <v>9</v>
      </c>
      <c r="C20" s="931">
        <v>442.22500000000002</v>
      </c>
      <c r="D20" s="411">
        <f>C20-0.00625</f>
        <v>442.21875</v>
      </c>
      <c r="E20" s="412">
        <v>18</v>
      </c>
      <c r="F20" s="413">
        <f>G20-0.00625</f>
        <v>447.21875</v>
      </c>
      <c r="G20" s="929">
        <v>447.22500000000002</v>
      </c>
      <c r="H20" s="935"/>
    </row>
    <row r="21" spans="1:8" x14ac:dyDescent="0.25">
      <c r="A21" s="932"/>
      <c r="B21" s="930"/>
      <c r="C21" s="931"/>
      <c r="D21" s="411">
        <f>C20+0.00625</f>
        <v>442.23125000000005</v>
      </c>
      <c r="E21" s="412">
        <v>19</v>
      </c>
      <c r="F21" s="413">
        <f>G20+0.00625</f>
        <v>447.23125000000005</v>
      </c>
      <c r="G21" s="929"/>
      <c r="H21" s="935"/>
    </row>
    <row r="22" spans="1:8" x14ac:dyDescent="0.25">
      <c r="A22" s="932"/>
      <c r="B22" s="930">
        <v>10</v>
      </c>
      <c r="C22" s="931">
        <v>442.25</v>
      </c>
      <c r="D22" s="411">
        <f>C22-0.00625</f>
        <v>442.24374999999998</v>
      </c>
      <c r="E22" s="412">
        <v>20</v>
      </c>
      <c r="F22" s="413">
        <f>G22-0.00625</f>
        <v>447.24374999999998</v>
      </c>
      <c r="G22" s="929">
        <v>447.25</v>
      </c>
      <c r="H22" s="935"/>
    </row>
    <row r="23" spans="1:8" x14ac:dyDescent="0.25">
      <c r="A23" s="932"/>
      <c r="B23" s="930"/>
      <c r="C23" s="931"/>
      <c r="D23" s="411">
        <f>C22+0.00625</f>
        <v>442.25625000000002</v>
      </c>
      <c r="E23" s="412">
        <v>21</v>
      </c>
      <c r="F23" s="413">
        <f>G22+0.00625</f>
        <v>447.25625000000002</v>
      </c>
      <c r="G23" s="929"/>
      <c r="H23" s="935"/>
    </row>
    <row r="24" spans="1:8" x14ac:dyDescent="0.25">
      <c r="A24" s="932"/>
      <c r="B24" s="930">
        <v>11</v>
      </c>
      <c r="C24" s="931">
        <v>442.27499999999998</v>
      </c>
      <c r="D24" s="411">
        <f>C24-0.00625</f>
        <v>442.26874999999995</v>
      </c>
      <c r="E24" s="412">
        <v>22</v>
      </c>
      <c r="F24" s="413">
        <f>G24-0.00625</f>
        <v>447.26874999999995</v>
      </c>
      <c r="G24" s="929">
        <v>447.27499999999998</v>
      </c>
      <c r="H24" s="935"/>
    </row>
    <row r="25" spans="1:8" x14ac:dyDescent="0.25">
      <c r="A25" s="932"/>
      <c r="B25" s="930"/>
      <c r="C25" s="931"/>
      <c r="D25" s="411">
        <f>C24+0.00625</f>
        <v>442.28125</v>
      </c>
      <c r="E25" s="412">
        <v>23</v>
      </c>
      <c r="F25" s="413">
        <f>G24+0.00625</f>
        <v>447.28125</v>
      </c>
      <c r="G25" s="929"/>
      <c r="H25" s="935"/>
    </row>
    <row r="26" spans="1:8" x14ac:dyDescent="0.25">
      <c r="A26" s="932"/>
      <c r="B26" s="930">
        <v>12</v>
      </c>
      <c r="C26" s="931">
        <v>442.3</v>
      </c>
      <c r="D26" s="411">
        <f>C26-0.00625</f>
        <v>442.29374999999999</v>
      </c>
      <c r="E26" s="412">
        <v>24</v>
      </c>
      <c r="F26" s="413">
        <f>G26-0.00625</f>
        <v>447.29374999999999</v>
      </c>
      <c r="G26" s="929">
        <v>447.3</v>
      </c>
      <c r="H26" s="935"/>
    </row>
    <row r="27" spans="1:8" x14ac:dyDescent="0.25">
      <c r="A27" s="932"/>
      <c r="B27" s="930"/>
      <c r="C27" s="931"/>
      <c r="D27" s="411">
        <f>C26+0.00625</f>
        <v>442.30625000000003</v>
      </c>
      <c r="E27" s="412">
        <v>25</v>
      </c>
      <c r="F27" s="413">
        <f>G26+0.00625</f>
        <v>447.30625000000003</v>
      </c>
      <c r="G27" s="929"/>
      <c r="H27" s="935"/>
    </row>
    <row r="28" spans="1:8" x14ac:dyDescent="0.25">
      <c r="A28" s="932"/>
      <c r="B28" s="930">
        <v>13</v>
      </c>
      <c r="C28" s="931">
        <v>442.32499999999999</v>
      </c>
      <c r="D28" s="411">
        <f>C28-0.00625</f>
        <v>442.31874999999997</v>
      </c>
      <c r="E28" s="412">
        <v>26</v>
      </c>
      <c r="F28" s="413">
        <f>G28-0.00625</f>
        <v>447.31874999999997</v>
      </c>
      <c r="G28" s="929">
        <v>447.32499999999999</v>
      </c>
      <c r="H28" s="935"/>
    </row>
    <row r="29" spans="1:8" x14ac:dyDescent="0.25">
      <c r="A29" s="932"/>
      <c r="B29" s="930"/>
      <c r="C29" s="931"/>
      <c r="D29" s="411">
        <f>C28+0.00625</f>
        <v>442.33125000000001</v>
      </c>
      <c r="E29" s="412">
        <v>27</v>
      </c>
      <c r="F29" s="413">
        <f>G28+0.00625</f>
        <v>447.33125000000001</v>
      </c>
      <c r="G29" s="929"/>
      <c r="H29" s="935"/>
    </row>
    <row r="30" spans="1:8" x14ac:dyDescent="0.25">
      <c r="A30" s="932"/>
      <c r="B30" s="930">
        <v>14</v>
      </c>
      <c r="C30" s="931">
        <v>442.35</v>
      </c>
      <c r="D30" s="411">
        <f>C30-0.00625</f>
        <v>442.34375</v>
      </c>
      <c r="E30" s="412">
        <v>28</v>
      </c>
      <c r="F30" s="413">
        <f>G30-0.00625</f>
        <v>447.34375</v>
      </c>
      <c r="G30" s="929">
        <v>447.35</v>
      </c>
      <c r="H30" s="935"/>
    </row>
    <row r="31" spans="1:8" x14ac:dyDescent="0.25">
      <c r="A31" s="932"/>
      <c r="B31" s="930"/>
      <c r="C31" s="931"/>
      <c r="D31" s="411">
        <f>C30+0.00625</f>
        <v>442.35625000000005</v>
      </c>
      <c r="E31" s="412">
        <v>29</v>
      </c>
      <c r="F31" s="413">
        <f>G30+0.00625</f>
        <v>447.35625000000005</v>
      </c>
      <c r="G31" s="929"/>
      <c r="H31" s="935"/>
    </row>
    <row r="32" spans="1:8" x14ac:dyDescent="0.25">
      <c r="A32" s="932"/>
      <c r="B32" s="930">
        <v>15</v>
      </c>
      <c r="C32" s="931">
        <v>442.375</v>
      </c>
      <c r="D32" s="411">
        <f>C32-0.00625</f>
        <v>442.36874999999998</v>
      </c>
      <c r="E32" s="412">
        <v>30</v>
      </c>
      <c r="F32" s="413">
        <f>G32-0.00625</f>
        <v>447.36874999999998</v>
      </c>
      <c r="G32" s="929">
        <v>447.375</v>
      </c>
      <c r="H32" s="935"/>
    </row>
    <row r="33" spans="1:8" x14ac:dyDescent="0.25">
      <c r="A33" s="932"/>
      <c r="B33" s="930"/>
      <c r="C33" s="931"/>
      <c r="D33" s="411">
        <f>C32+0.00625</f>
        <v>442.38125000000002</v>
      </c>
      <c r="E33" s="412">
        <v>31</v>
      </c>
      <c r="F33" s="413">
        <f>G32+0.00625</f>
        <v>447.38125000000002</v>
      </c>
      <c r="G33" s="929"/>
      <c r="H33" s="935"/>
    </row>
    <row r="34" spans="1:8" x14ac:dyDescent="0.25">
      <c r="A34" s="932"/>
      <c r="B34" s="930">
        <v>16</v>
      </c>
      <c r="C34" s="931">
        <v>442.4</v>
      </c>
      <c r="D34" s="411">
        <f>C34-0.00625</f>
        <v>442.39374999999995</v>
      </c>
      <c r="E34" s="412">
        <v>32</v>
      </c>
      <c r="F34" s="413">
        <f>G34-0.00625</f>
        <v>447.39374999999995</v>
      </c>
      <c r="G34" s="929">
        <v>447.4</v>
      </c>
      <c r="H34" s="935"/>
    </row>
    <row r="35" spans="1:8" x14ac:dyDescent="0.25">
      <c r="A35" s="932"/>
      <c r="B35" s="930"/>
      <c r="C35" s="931"/>
      <c r="D35" s="411">
        <f>C34+0.00625</f>
        <v>442.40625</v>
      </c>
      <c r="E35" s="412">
        <v>33</v>
      </c>
      <c r="F35" s="413">
        <f>G34+0.00625</f>
        <v>447.40625</v>
      </c>
      <c r="G35" s="929"/>
      <c r="H35" s="935"/>
    </row>
    <row r="36" spans="1:8" x14ac:dyDescent="0.25">
      <c r="A36" s="932"/>
      <c r="B36" s="930">
        <v>17</v>
      </c>
      <c r="C36" s="931">
        <v>442.42500000000098</v>
      </c>
      <c r="D36" s="411">
        <f>C36-0.00625</f>
        <v>442.41875000000095</v>
      </c>
      <c r="E36" s="412">
        <v>34</v>
      </c>
      <c r="F36" s="413">
        <f>G36-0.00625</f>
        <v>447.41875000000095</v>
      </c>
      <c r="G36" s="929">
        <v>447.42500000000098</v>
      </c>
      <c r="H36" s="935"/>
    </row>
    <row r="37" spans="1:8" x14ac:dyDescent="0.25">
      <c r="A37" s="932"/>
      <c r="B37" s="930"/>
      <c r="C37" s="931"/>
      <c r="D37" s="411">
        <f>C36+0.00625</f>
        <v>442.431250000001</v>
      </c>
      <c r="E37" s="412">
        <v>35</v>
      </c>
      <c r="F37" s="413">
        <f>G36+0.00625</f>
        <v>447.431250000001</v>
      </c>
      <c r="G37" s="929"/>
      <c r="H37" s="935"/>
    </row>
    <row r="38" spans="1:8" x14ac:dyDescent="0.25">
      <c r="A38" s="932"/>
      <c r="B38" s="930">
        <v>18</v>
      </c>
      <c r="C38" s="931">
        <v>442.45000000000101</v>
      </c>
      <c r="D38" s="411">
        <f>C38-0.00625</f>
        <v>442.44375000000099</v>
      </c>
      <c r="E38" s="412">
        <v>36</v>
      </c>
      <c r="F38" s="413">
        <f>G38-0.00625</f>
        <v>447.44375000000099</v>
      </c>
      <c r="G38" s="929">
        <v>447.45000000000101</v>
      </c>
      <c r="H38" s="935"/>
    </row>
    <row r="39" spans="1:8" x14ac:dyDescent="0.25">
      <c r="A39" s="932"/>
      <c r="B39" s="930"/>
      <c r="C39" s="931"/>
      <c r="D39" s="411">
        <f>C38+0.00625</f>
        <v>442.45625000000103</v>
      </c>
      <c r="E39" s="412">
        <v>37</v>
      </c>
      <c r="F39" s="413">
        <f>G38+0.00625</f>
        <v>447.45625000000103</v>
      </c>
      <c r="G39" s="929"/>
      <c r="H39" s="935"/>
    </row>
    <row r="40" spans="1:8" x14ac:dyDescent="0.25">
      <c r="A40" s="932"/>
      <c r="B40" s="930">
        <v>19</v>
      </c>
      <c r="C40" s="931">
        <v>442.47500000000099</v>
      </c>
      <c r="D40" s="411">
        <f>C40-0.00625</f>
        <v>442.46875000000097</v>
      </c>
      <c r="E40" s="412">
        <v>38</v>
      </c>
      <c r="F40" s="413">
        <f>G40-0.00625</f>
        <v>447.46875000000097</v>
      </c>
      <c r="G40" s="929">
        <v>447.47500000000099</v>
      </c>
      <c r="H40" s="935"/>
    </row>
    <row r="41" spans="1:8" x14ac:dyDescent="0.25">
      <c r="A41" s="932"/>
      <c r="B41" s="930"/>
      <c r="C41" s="931" t="s">
        <v>97</v>
      </c>
      <c r="D41" s="411">
        <f>C40+0.00625</f>
        <v>442.48125000000101</v>
      </c>
      <c r="E41" s="412">
        <v>39</v>
      </c>
      <c r="F41" s="413">
        <f>G40+0.00625</f>
        <v>447.48125000000101</v>
      </c>
      <c r="G41" s="929" t="s">
        <v>97</v>
      </c>
      <c r="H41" s="935"/>
    </row>
    <row r="42" spans="1:8" x14ac:dyDescent="0.25">
      <c r="A42" s="418">
        <v>442.5</v>
      </c>
      <c r="B42" s="930">
        <v>20</v>
      </c>
      <c r="C42" s="931">
        <v>442.50000000000398</v>
      </c>
      <c r="D42" s="411">
        <f>C42-0.00625</f>
        <v>442.49375000000396</v>
      </c>
      <c r="E42" s="412">
        <v>40</v>
      </c>
      <c r="F42" s="413">
        <f>G42-0.00625</f>
        <v>447.49375000000396</v>
      </c>
      <c r="G42" s="929">
        <v>447.50000000000398</v>
      </c>
      <c r="H42" s="419">
        <v>447.5</v>
      </c>
    </row>
    <row r="43" spans="1:8" x14ac:dyDescent="0.25">
      <c r="A43" s="932"/>
      <c r="B43" s="930"/>
      <c r="C43" s="931"/>
      <c r="D43" s="411">
        <f>C42+0.00625</f>
        <v>442.506250000004</v>
      </c>
      <c r="E43" s="412">
        <v>41</v>
      </c>
      <c r="F43" s="413">
        <f>G42+0.00625</f>
        <v>447.506250000004</v>
      </c>
      <c r="G43" s="929"/>
      <c r="H43" s="933"/>
    </row>
    <row r="44" spans="1:8" x14ac:dyDescent="0.25">
      <c r="A44" s="932"/>
      <c r="B44" s="930">
        <v>21</v>
      </c>
      <c r="C44" s="931">
        <v>442.52500000000498</v>
      </c>
      <c r="D44" s="411">
        <f>C44-0.00625</f>
        <v>442.51875000000496</v>
      </c>
      <c r="E44" s="412">
        <v>42</v>
      </c>
      <c r="F44" s="413">
        <f>G44-0.00625</f>
        <v>447.51875000000496</v>
      </c>
      <c r="G44" s="929">
        <v>447.52500000000498</v>
      </c>
      <c r="H44" s="933"/>
    </row>
    <row r="45" spans="1:8" x14ac:dyDescent="0.25">
      <c r="A45" s="932"/>
      <c r="B45" s="930"/>
      <c r="C45" s="931"/>
      <c r="D45" s="411">
        <f>C44+0.00625</f>
        <v>442.531250000005</v>
      </c>
      <c r="E45" s="412">
        <v>43</v>
      </c>
      <c r="F45" s="413">
        <f>G44+0.00625</f>
        <v>447.531250000005</v>
      </c>
      <c r="G45" s="929"/>
      <c r="H45" s="933"/>
    </row>
    <row r="46" spans="1:8" x14ac:dyDescent="0.25">
      <c r="A46" s="932"/>
      <c r="B46" s="930">
        <v>22</v>
      </c>
      <c r="C46" s="931">
        <v>442.55000000000598</v>
      </c>
      <c r="D46" s="411">
        <f>C46-0.00625</f>
        <v>442.54375000000596</v>
      </c>
      <c r="E46" s="412">
        <v>44</v>
      </c>
      <c r="F46" s="413">
        <f>G46-0.00625</f>
        <v>447.54375000000596</v>
      </c>
      <c r="G46" s="929">
        <v>447.55000000000598</v>
      </c>
      <c r="H46" s="933"/>
    </row>
    <row r="47" spans="1:8" x14ac:dyDescent="0.25">
      <c r="A47" s="932"/>
      <c r="B47" s="930"/>
      <c r="C47" s="931"/>
      <c r="D47" s="411">
        <f>C46+0.00625</f>
        <v>442.556250000006</v>
      </c>
      <c r="E47" s="412">
        <v>45</v>
      </c>
      <c r="F47" s="413">
        <f>G46+0.00625</f>
        <v>447.556250000006</v>
      </c>
      <c r="G47" s="929"/>
      <c r="H47" s="933"/>
    </row>
    <row r="48" spans="1:8" x14ac:dyDescent="0.25">
      <c r="A48" s="932"/>
      <c r="B48" s="930">
        <v>23</v>
      </c>
      <c r="C48" s="931">
        <v>442.57500000000698</v>
      </c>
      <c r="D48" s="411">
        <f>C48-0.00625</f>
        <v>442.56875000000696</v>
      </c>
      <c r="E48" s="412">
        <v>46</v>
      </c>
      <c r="F48" s="413">
        <f>G48-0.00625</f>
        <v>447.56875000000696</v>
      </c>
      <c r="G48" s="929">
        <v>447.57500000000698</v>
      </c>
      <c r="H48" s="933"/>
    </row>
    <row r="49" spans="1:8" x14ac:dyDescent="0.25">
      <c r="A49" s="932"/>
      <c r="B49" s="930"/>
      <c r="C49" s="931"/>
      <c r="D49" s="411">
        <f>C48+0.00625</f>
        <v>442.581250000007</v>
      </c>
      <c r="E49" s="412">
        <v>47</v>
      </c>
      <c r="F49" s="413">
        <f>G48+0.00625</f>
        <v>447.581250000007</v>
      </c>
      <c r="G49" s="929"/>
      <c r="H49" s="933"/>
    </row>
    <row r="50" spans="1:8" x14ac:dyDescent="0.25">
      <c r="A50" s="932"/>
      <c r="B50" s="930">
        <v>24</v>
      </c>
      <c r="C50" s="931">
        <v>442.60000000000798</v>
      </c>
      <c r="D50" s="411">
        <f>C50-0.00625</f>
        <v>442.59375000000796</v>
      </c>
      <c r="E50" s="412">
        <v>48</v>
      </c>
      <c r="F50" s="413">
        <f>G50-0.00625</f>
        <v>447.59375000000796</v>
      </c>
      <c r="G50" s="929">
        <v>447.60000000000798</v>
      </c>
      <c r="H50" s="933"/>
    </row>
    <row r="51" spans="1:8" x14ac:dyDescent="0.25">
      <c r="A51" s="932"/>
      <c r="B51" s="930"/>
      <c r="C51" s="931"/>
      <c r="D51" s="411">
        <f>C50+0.00625</f>
        <v>442.606250000008</v>
      </c>
      <c r="E51" s="412">
        <v>49</v>
      </c>
      <c r="F51" s="413">
        <f>G50+0.00625</f>
        <v>447.606250000008</v>
      </c>
      <c r="G51" s="929"/>
      <c r="H51" s="933"/>
    </row>
    <row r="52" spans="1:8" x14ac:dyDescent="0.25">
      <c r="A52" s="932"/>
      <c r="B52" s="930">
        <v>25</v>
      </c>
      <c r="C52" s="931">
        <v>442.62500000000898</v>
      </c>
      <c r="D52" s="411">
        <f>C52-0.00625</f>
        <v>442.61875000000896</v>
      </c>
      <c r="E52" s="412">
        <v>50</v>
      </c>
      <c r="F52" s="413">
        <f>G52-0.00625</f>
        <v>447.61875000000896</v>
      </c>
      <c r="G52" s="929">
        <v>447.62500000000898</v>
      </c>
      <c r="H52" s="934"/>
    </row>
    <row r="53" spans="1:8" x14ac:dyDescent="0.25">
      <c r="A53" s="932"/>
      <c r="B53" s="930"/>
      <c r="C53" s="931"/>
      <c r="D53" s="411">
        <f>C52+0.00625</f>
        <v>442.631250000009</v>
      </c>
      <c r="E53" s="412">
        <v>51</v>
      </c>
      <c r="F53" s="413">
        <f>G52+0.00625</f>
        <v>447.631250000009</v>
      </c>
      <c r="G53" s="929"/>
      <c r="H53" s="934"/>
    </row>
    <row r="54" spans="1:8" x14ac:dyDescent="0.25">
      <c r="A54" s="932"/>
      <c r="B54" s="930">
        <v>26</v>
      </c>
      <c r="C54" s="931">
        <v>442.65000000000998</v>
      </c>
      <c r="D54" s="411">
        <f>C54-0.00625</f>
        <v>442.64375000000996</v>
      </c>
      <c r="E54" s="412">
        <v>52</v>
      </c>
      <c r="F54" s="413">
        <f>G54-0.00625</f>
        <v>447.64375000000996</v>
      </c>
      <c r="G54" s="929">
        <v>447.65000000000998</v>
      </c>
      <c r="H54" s="934"/>
    </row>
    <row r="55" spans="1:8" x14ac:dyDescent="0.25">
      <c r="A55" s="932"/>
      <c r="B55" s="930"/>
      <c r="C55" s="931"/>
      <c r="D55" s="411">
        <f>C54+0.00625</f>
        <v>442.65625000001</v>
      </c>
      <c r="E55" s="412">
        <v>53</v>
      </c>
      <c r="F55" s="413">
        <f>G54+0.00625</f>
        <v>447.65625000001</v>
      </c>
      <c r="G55" s="929"/>
      <c r="H55" s="934"/>
    </row>
    <row r="56" spans="1:8" x14ac:dyDescent="0.25">
      <c r="A56" s="932"/>
      <c r="B56" s="930">
        <v>27</v>
      </c>
      <c r="C56" s="931">
        <v>442.67500000001098</v>
      </c>
      <c r="D56" s="411">
        <f>C56-0.00625</f>
        <v>442.66875000001096</v>
      </c>
      <c r="E56" s="412">
        <v>54</v>
      </c>
      <c r="F56" s="413">
        <f>G56-0.00625</f>
        <v>447.66875000001096</v>
      </c>
      <c r="G56" s="929">
        <v>447.67500000001098</v>
      </c>
      <c r="H56" s="934"/>
    </row>
    <row r="57" spans="1:8" x14ac:dyDescent="0.25">
      <c r="A57" s="932"/>
      <c r="B57" s="930"/>
      <c r="C57" s="931"/>
      <c r="D57" s="411">
        <f>C56+0.00625</f>
        <v>442.681250000011</v>
      </c>
      <c r="E57" s="412">
        <v>55</v>
      </c>
      <c r="F57" s="413">
        <f>G56+0.00625</f>
        <v>447.681250000011</v>
      </c>
      <c r="G57" s="929"/>
      <c r="H57" s="934"/>
    </row>
    <row r="58" spans="1:8" x14ac:dyDescent="0.25">
      <c r="A58" s="932"/>
      <c r="B58" s="930">
        <v>28</v>
      </c>
      <c r="C58" s="931">
        <v>442.70000000001198</v>
      </c>
      <c r="D58" s="411">
        <f>C58-0.00625</f>
        <v>442.69375000001196</v>
      </c>
      <c r="E58" s="412">
        <v>56</v>
      </c>
      <c r="F58" s="413">
        <f>G58-0.00625</f>
        <v>447.69375000001196</v>
      </c>
      <c r="G58" s="929">
        <v>447.70000000001198</v>
      </c>
      <c r="H58" s="934"/>
    </row>
    <row r="59" spans="1:8" x14ac:dyDescent="0.25">
      <c r="A59" s="932"/>
      <c r="B59" s="930"/>
      <c r="C59" s="931"/>
      <c r="D59" s="411">
        <f>C58+0.00625</f>
        <v>442.70625000001201</v>
      </c>
      <c r="E59" s="412">
        <v>57</v>
      </c>
      <c r="F59" s="413">
        <f>G58+0.00625</f>
        <v>447.70625000001201</v>
      </c>
      <c r="G59" s="929"/>
      <c r="H59" s="934"/>
    </row>
    <row r="60" spans="1:8" x14ac:dyDescent="0.25">
      <c r="A60" s="932"/>
      <c r="B60" s="930">
        <v>29</v>
      </c>
      <c r="C60" s="931">
        <v>442.72500000001298</v>
      </c>
      <c r="D60" s="411">
        <f>C60-0.00625</f>
        <v>442.71875000001296</v>
      </c>
      <c r="E60" s="412">
        <v>58</v>
      </c>
      <c r="F60" s="413">
        <f>G60-0.00625</f>
        <v>447.71875000001296</v>
      </c>
      <c r="G60" s="929">
        <v>447.72500000001298</v>
      </c>
      <c r="H60" s="934"/>
    </row>
    <row r="61" spans="1:8" x14ac:dyDescent="0.25">
      <c r="A61" s="932"/>
      <c r="B61" s="930"/>
      <c r="C61" s="931"/>
      <c r="D61" s="411">
        <f>C60+0.00625</f>
        <v>442.73125000001301</v>
      </c>
      <c r="E61" s="412">
        <v>59</v>
      </c>
      <c r="F61" s="413">
        <f>G60+0.00625</f>
        <v>447.73125000001301</v>
      </c>
      <c r="G61" s="929"/>
      <c r="H61" s="934"/>
    </row>
    <row r="62" spans="1:8" x14ac:dyDescent="0.25">
      <c r="A62" s="932"/>
      <c r="B62" s="930">
        <v>30</v>
      </c>
      <c r="C62" s="931">
        <v>442.75000000001398</v>
      </c>
      <c r="D62" s="411">
        <f>C62-0.00625</f>
        <v>442.74375000001396</v>
      </c>
      <c r="E62" s="412">
        <v>60</v>
      </c>
      <c r="F62" s="413">
        <f>G62-0.00625</f>
        <v>447.74375000001396</v>
      </c>
      <c r="G62" s="929">
        <v>447.75000000001398</v>
      </c>
      <c r="H62" s="934"/>
    </row>
    <row r="63" spans="1:8" x14ac:dyDescent="0.25">
      <c r="A63" s="418">
        <v>442.75</v>
      </c>
      <c r="B63" s="930"/>
      <c r="C63" s="931"/>
      <c r="D63" s="411">
        <f>C62+0.00625</f>
        <v>442.75625000001401</v>
      </c>
      <c r="E63" s="412">
        <v>61</v>
      </c>
      <c r="F63" s="413">
        <f>G62+0.00625</f>
        <v>447.75625000001401</v>
      </c>
      <c r="G63" s="929"/>
      <c r="H63" s="934"/>
    </row>
    <row r="64" spans="1:8" x14ac:dyDescent="0.25">
      <c r="A64" s="418"/>
      <c r="B64" s="930">
        <v>31</v>
      </c>
      <c r="C64" s="931">
        <f>C62+0.025</f>
        <v>442.77500000001396</v>
      </c>
      <c r="D64" s="411">
        <f>C64-0.00625</f>
        <v>442.76875000001394</v>
      </c>
      <c r="E64" s="412">
        <v>62</v>
      </c>
      <c r="F64" s="413">
        <f>G64-0.00625</f>
        <v>447.76875000001394</v>
      </c>
      <c r="G64" s="929">
        <f>G62+0.025</f>
        <v>447.77500000001396</v>
      </c>
      <c r="H64" s="417"/>
    </row>
    <row r="65" spans="1:8" x14ac:dyDescent="0.25">
      <c r="A65" s="418"/>
      <c r="B65" s="930"/>
      <c r="C65" s="931"/>
      <c r="D65" s="411">
        <f>C64+0.00625</f>
        <v>442.78125000001398</v>
      </c>
      <c r="E65" s="412">
        <v>63</v>
      </c>
      <c r="F65" s="413">
        <f>G64+0.00625</f>
        <v>447.78125000001398</v>
      </c>
      <c r="G65" s="929"/>
      <c r="H65" s="417"/>
    </row>
    <row r="66" spans="1:8" x14ac:dyDescent="0.25">
      <c r="A66" s="418"/>
      <c r="B66" s="930">
        <v>32</v>
      </c>
      <c r="C66" s="931">
        <f>C64+0.025</f>
        <v>442.80000000001394</v>
      </c>
      <c r="D66" s="411">
        <f>C66-0.00625</f>
        <v>442.79375000001392</v>
      </c>
      <c r="E66" s="412">
        <v>64</v>
      </c>
      <c r="F66" s="413">
        <f>G66-0.00625</f>
        <v>447.79375000001392</v>
      </c>
      <c r="G66" s="929">
        <f>G64+0.025</f>
        <v>447.80000000001394</v>
      </c>
      <c r="H66" s="417"/>
    </row>
    <row r="67" spans="1:8" x14ac:dyDescent="0.25">
      <c r="A67" s="418"/>
      <c r="B67" s="930"/>
      <c r="C67" s="931"/>
      <c r="D67" s="411">
        <f>C66+0.00625</f>
        <v>442.80625000001396</v>
      </c>
      <c r="E67" s="412">
        <v>65</v>
      </c>
      <c r="F67" s="413">
        <f>G66+0.00625</f>
        <v>447.80625000001396</v>
      </c>
      <c r="G67" s="929"/>
      <c r="H67" s="417"/>
    </row>
    <row r="68" spans="1:8" x14ac:dyDescent="0.25">
      <c r="A68" s="418"/>
      <c r="B68" s="930">
        <v>33</v>
      </c>
      <c r="C68" s="931">
        <f>C66+0.025</f>
        <v>442.82500000001392</v>
      </c>
      <c r="D68" s="411">
        <f>C68-0.00625</f>
        <v>442.81875000001389</v>
      </c>
      <c r="E68" s="412">
        <v>66</v>
      </c>
      <c r="F68" s="413">
        <f>G68-0.00625</f>
        <v>447.81875000001389</v>
      </c>
      <c r="G68" s="929">
        <f>G66+0.025</f>
        <v>447.82500000001392</v>
      </c>
      <c r="H68" s="417"/>
    </row>
    <row r="69" spans="1:8" x14ac:dyDescent="0.25">
      <c r="A69" s="418"/>
      <c r="B69" s="930"/>
      <c r="C69" s="931"/>
      <c r="D69" s="411">
        <f>C68+0.00625</f>
        <v>442.83125000001394</v>
      </c>
      <c r="E69" s="412">
        <v>67</v>
      </c>
      <c r="F69" s="413">
        <f>G68+0.00625</f>
        <v>447.83125000001394</v>
      </c>
      <c r="G69" s="929"/>
      <c r="H69" s="417"/>
    </row>
    <row r="70" spans="1:8" x14ac:dyDescent="0.25">
      <c r="A70" s="418"/>
      <c r="B70" s="930">
        <v>34</v>
      </c>
      <c r="C70" s="931">
        <f>C68+0.025</f>
        <v>442.85000000001389</v>
      </c>
      <c r="D70" s="411">
        <f>C70-0.00625</f>
        <v>442.84375000001387</v>
      </c>
      <c r="E70" s="412">
        <v>68</v>
      </c>
      <c r="F70" s="413">
        <f>G70-0.00625</f>
        <v>447.84375000001387</v>
      </c>
      <c r="G70" s="929">
        <f>G68+0.025</f>
        <v>447.85000000001389</v>
      </c>
      <c r="H70" s="417"/>
    </row>
    <row r="71" spans="1:8" x14ac:dyDescent="0.25">
      <c r="A71" s="418"/>
      <c r="B71" s="930"/>
      <c r="C71" s="931"/>
      <c r="D71" s="411">
        <f>C70+0.00625</f>
        <v>442.85625000001392</v>
      </c>
      <c r="E71" s="412">
        <v>69</v>
      </c>
      <c r="F71" s="413">
        <f>G70+0.00625</f>
        <v>447.85625000001392</v>
      </c>
      <c r="G71" s="929"/>
      <c r="H71" s="417"/>
    </row>
    <row r="72" spans="1:8" x14ac:dyDescent="0.25">
      <c r="A72" s="418"/>
      <c r="B72" s="930">
        <v>35</v>
      </c>
      <c r="C72" s="931">
        <f>C70+0.025</f>
        <v>442.87500000001387</v>
      </c>
      <c r="D72" s="411">
        <f>C72-0.00625</f>
        <v>442.86875000001385</v>
      </c>
      <c r="E72" s="412">
        <v>70</v>
      </c>
      <c r="F72" s="413">
        <f>G72-0.00625</f>
        <v>447.86875000001385</v>
      </c>
      <c r="G72" s="929">
        <f>G70+0.025</f>
        <v>447.87500000001387</v>
      </c>
      <c r="H72" s="417"/>
    </row>
    <row r="73" spans="1:8" x14ac:dyDescent="0.25">
      <c r="A73" s="418"/>
      <c r="B73" s="930"/>
      <c r="C73" s="931"/>
      <c r="D73" s="411">
        <f>C72+0.00625</f>
        <v>442.88125000001389</v>
      </c>
      <c r="E73" s="412">
        <v>71</v>
      </c>
      <c r="F73" s="413">
        <f>G72+0.00625</f>
        <v>447.88125000001389</v>
      </c>
      <c r="G73" s="929"/>
      <c r="H73" s="417"/>
    </row>
    <row r="74" spans="1:8" x14ac:dyDescent="0.25">
      <c r="A74" s="418"/>
      <c r="B74" s="930">
        <v>36</v>
      </c>
      <c r="C74" s="931">
        <f>C72+0.025</f>
        <v>442.90000000001385</v>
      </c>
      <c r="D74" s="411">
        <f>C74-0.00625</f>
        <v>442.89375000001382</v>
      </c>
      <c r="E74" s="412">
        <v>72</v>
      </c>
      <c r="F74" s="413">
        <f>G74-0.00625</f>
        <v>447.89375000001382</v>
      </c>
      <c r="G74" s="929">
        <f>G72+0.025</f>
        <v>447.90000000001385</v>
      </c>
      <c r="H74" s="417"/>
    </row>
    <row r="75" spans="1:8" x14ac:dyDescent="0.25">
      <c r="A75" s="418"/>
      <c r="B75" s="930"/>
      <c r="C75" s="931"/>
      <c r="D75" s="411">
        <f>C74+0.00625</f>
        <v>442.90625000001387</v>
      </c>
      <c r="E75" s="412">
        <v>73</v>
      </c>
      <c r="F75" s="413">
        <f>G74+0.00625</f>
        <v>447.90625000001387</v>
      </c>
      <c r="G75" s="929"/>
      <c r="H75" s="417"/>
    </row>
    <row r="76" spans="1:8" x14ac:dyDescent="0.25">
      <c r="A76" s="418"/>
      <c r="B76" s="930">
        <v>37</v>
      </c>
      <c r="C76" s="931">
        <f>C74+0.025</f>
        <v>442.92500000001382</v>
      </c>
      <c r="D76" s="411">
        <f>C76-0.00625</f>
        <v>442.9187500000138</v>
      </c>
      <c r="E76" s="412">
        <v>74</v>
      </c>
      <c r="F76" s="413">
        <f>G76-0.00625</f>
        <v>447.9187500000138</v>
      </c>
      <c r="G76" s="929">
        <f>G74+0.025</f>
        <v>447.92500000001382</v>
      </c>
      <c r="H76" s="417"/>
    </row>
    <row r="77" spans="1:8" x14ac:dyDescent="0.25">
      <c r="A77" s="418"/>
      <c r="B77" s="930"/>
      <c r="C77" s="931"/>
      <c r="D77" s="411">
        <f>C76+0.00625</f>
        <v>442.93125000001385</v>
      </c>
      <c r="E77" s="412">
        <v>75</v>
      </c>
      <c r="F77" s="413">
        <f>G76+0.00625</f>
        <v>447.93125000001385</v>
      </c>
      <c r="G77" s="929"/>
      <c r="H77" s="417"/>
    </row>
    <row r="78" spans="1:8" x14ac:dyDescent="0.25">
      <c r="A78" s="418"/>
      <c r="B78" s="930">
        <v>38</v>
      </c>
      <c r="C78" s="931">
        <f>C76+0.025</f>
        <v>442.9500000000138</v>
      </c>
      <c r="D78" s="411">
        <f>C78-0.00625</f>
        <v>442.94375000001378</v>
      </c>
      <c r="E78" s="412">
        <v>76</v>
      </c>
      <c r="F78" s="413">
        <f>G78-0.00625</f>
        <v>447.94375000001378</v>
      </c>
      <c r="G78" s="929">
        <f>G76+0.025</f>
        <v>447.9500000000138</v>
      </c>
      <c r="H78" s="417"/>
    </row>
    <row r="79" spans="1:8" x14ac:dyDescent="0.25">
      <c r="A79" s="418"/>
      <c r="B79" s="930"/>
      <c r="C79" s="931"/>
      <c r="D79" s="411">
        <f>C78+0.00625</f>
        <v>442.95625000001382</v>
      </c>
      <c r="E79" s="412">
        <v>77</v>
      </c>
      <c r="F79" s="413">
        <f>G78+0.00625</f>
        <v>447.95625000001382</v>
      </c>
      <c r="G79" s="929"/>
      <c r="H79" s="417"/>
    </row>
    <row r="80" spans="1:8" x14ac:dyDescent="0.25">
      <c r="A80" s="418"/>
      <c r="B80" s="930">
        <v>39</v>
      </c>
      <c r="C80" s="931">
        <f>C78+0.025</f>
        <v>442.97500000001378</v>
      </c>
      <c r="D80" s="411">
        <f>C80-0.00625</f>
        <v>442.96875000001376</v>
      </c>
      <c r="E80" s="412">
        <v>78</v>
      </c>
      <c r="F80" s="413">
        <f>G80-0.00625</f>
        <v>447.96875000001376</v>
      </c>
      <c r="G80" s="929">
        <f>G78+0.025</f>
        <v>447.97500000001378</v>
      </c>
      <c r="H80" s="417"/>
    </row>
    <row r="81" spans="1:8" x14ac:dyDescent="0.25">
      <c r="A81" s="418"/>
      <c r="B81" s="930"/>
      <c r="C81" s="931"/>
      <c r="D81" s="411">
        <f>C80+0.00625</f>
        <v>442.9812500000138</v>
      </c>
      <c r="E81" s="412">
        <v>79</v>
      </c>
      <c r="F81" s="413">
        <f>G80+0.00625</f>
        <v>447.9812500000138</v>
      </c>
      <c r="G81" s="929"/>
      <c r="H81" s="417"/>
    </row>
    <row r="82" spans="1:8" x14ac:dyDescent="0.25">
      <c r="A82" s="420">
        <v>442.98750000000001</v>
      </c>
      <c r="B82" s="414"/>
      <c r="C82" s="415"/>
      <c r="D82" s="411"/>
      <c r="E82" s="421"/>
      <c r="F82" s="413"/>
      <c r="G82" s="416"/>
      <c r="H82" s="422">
        <v>447.98750000000001</v>
      </c>
    </row>
    <row r="84" spans="1:8" x14ac:dyDescent="0.25">
      <c r="A84" s="423"/>
    </row>
  </sheetData>
  <mergeCells count="121">
    <mergeCell ref="B80:B81"/>
    <mergeCell ref="C80:C81"/>
    <mergeCell ref="G80:G81"/>
    <mergeCell ref="B76:B77"/>
    <mergeCell ref="C76:C77"/>
    <mergeCell ref="G76:G77"/>
    <mergeCell ref="B78:B79"/>
    <mergeCell ref="C78:C79"/>
    <mergeCell ref="G78:G79"/>
    <mergeCell ref="B72:B73"/>
    <mergeCell ref="C72:C73"/>
    <mergeCell ref="G72:G73"/>
    <mergeCell ref="B74:B75"/>
    <mergeCell ref="C74:C75"/>
    <mergeCell ref="G74:G75"/>
    <mergeCell ref="B68:B69"/>
    <mergeCell ref="C68:C69"/>
    <mergeCell ref="G68:G69"/>
    <mergeCell ref="B70:B71"/>
    <mergeCell ref="C70:C71"/>
    <mergeCell ref="G70:G71"/>
    <mergeCell ref="B64:B65"/>
    <mergeCell ref="C64:C65"/>
    <mergeCell ref="G64:G65"/>
    <mergeCell ref="B66:B67"/>
    <mergeCell ref="C66:C67"/>
    <mergeCell ref="G66:G67"/>
    <mergeCell ref="B60:B61"/>
    <mergeCell ref="C60:C61"/>
    <mergeCell ref="G60:G61"/>
    <mergeCell ref="B62:B63"/>
    <mergeCell ref="C62:C63"/>
    <mergeCell ref="G62:G63"/>
    <mergeCell ref="B56:B57"/>
    <mergeCell ref="C56:C57"/>
    <mergeCell ref="G56:G57"/>
    <mergeCell ref="B58:B59"/>
    <mergeCell ref="C58:C59"/>
    <mergeCell ref="G58:G59"/>
    <mergeCell ref="B52:B53"/>
    <mergeCell ref="C52:C53"/>
    <mergeCell ref="G52:G53"/>
    <mergeCell ref="B54:B55"/>
    <mergeCell ref="C54:C55"/>
    <mergeCell ref="G54:G55"/>
    <mergeCell ref="A43:A62"/>
    <mergeCell ref="H43:H63"/>
    <mergeCell ref="B44:B45"/>
    <mergeCell ref="C44:C45"/>
    <mergeCell ref="G44:G45"/>
    <mergeCell ref="B46:B47"/>
    <mergeCell ref="C46:C47"/>
    <mergeCell ref="B38:B39"/>
    <mergeCell ref="C38:C39"/>
    <mergeCell ref="G38:G39"/>
    <mergeCell ref="B40:B41"/>
    <mergeCell ref="C40:C41"/>
    <mergeCell ref="G40:G41"/>
    <mergeCell ref="H4:H41"/>
    <mergeCell ref="G46:G47"/>
    <mergeCell ref="B48:B49"/>
    <mergeCell ref="C48:C49"/>
    <mergeCell ref="G48:G49"/>
    <mergeCell ref="B50:B51"/>
    <mergeCell ref="C50:C51"/>
    <mergeCell ref="G50:G51"/>
    <mergeCell ref="B42:B43"/>
    <mergeCell ref="C42:C43"/>
    <mergeCell ref="G42:G43"/>
    <mergeCell ref="B34:B35"/>
    <mergeCell ref="C34:C35"/>
    <mergeCell ref="G34:G35"/>
    <mergeCell ref="B36:B37"/>
    <mergeCell ref="C36:C37"/>
    <mergeCell ref="G36:G37"/>
    <mergeCell ref="B30:B31"/>
    <mergeCell ref="C30:C31"/>
    <mergeCell ref="G30:G31"/>
    <mergeCell ref="B32:B33"/>
    <mergeCell ref="C32:C33"/>
    <mergeCell ref="G32:G33"/>
    <mergeCell ref="G14:G15"/>
    <mergeCell ref="B16:B17"/>
    <mergeCell ref="C16:C17"/>
    <mergeCell ref="G16:G17"/>
    <mergeCell ref="B26:B27"/>
    <mergeCell ref="C26:C27"/>
    <mergeCell ref="G26:G27"/>
    <mergeCell ref="B28:B29"/>
    <mergeCell ref="C28:C29"/>
    <mergeCell ref="G28:G29"/>
    <mergeCell ref="B22:B23"/>
    <mergeCell ref="C22:C23"/>
    <mergeCell ref="G22:G23"/>
    <mergeCell ref="B24:B25"/>
    <mergeCell ref="C24:C25"/>
    <mergeCell ref="G24:G25"/>
    <mergeCell ref="G8:G9"/>
    <mergeCell ref="B10:B11"/>
    <mergeCell ref="C10:C11"/>
    <mergeCell ref="G10:G11"/>
    <mergeCell ref="B12:B13"/>
    <mergeCell ref="C12:C13"/>
    <mergeCell ref="G12:G13"/>
    <mergeCell ref="A4:A41"/>
    <mergeCell ref="B4:B5"/>
    <mergeCell ref="C4:C5"/>
    <mergeCell ref="G4:G5"/>
    <mergeCell ref="B6:B7"/>
    <mergeCell ref="C6:C7"/>
    <mergeCell ref="G6:G7"/>
    <mergeCell ref="B8:B9"/>
    <mergeCell ref="C8:C9"/>
    <mergeCell ref="B18:B19"/>
    <mergeCell ref="C18:C19"/>
    <mergeCell ref="G18:G19"/>
    <mergeCell ref="B20:B21"/>
    <mergeCell ref="C20:C21"/>
    <mergeCell ref="G20:G21"/>
    <mergeCell ref="B14:B15"/>
    <mergeCell ref="C14:C15"/>
  </mergeCells>
  <hyperlinks>
    <hyperlink ref="K1" location="'Oversikt'!A1" display="Oversikt" xr:uid="{5B188AEE-A6D7-438D-BCFD-C41A66D85AA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49D9-4E9E-4B31-8FE5-C28A6B44E80C}">
  <sheetPr codeName="Ark5">
    <tabColor theme="5" tint="0.59999389629810485"/>
  </sheetPr>
  <dimension ref="A1:L22"/>
  <sheetViews>
    <sheetView workbookViewId="0">
      <selection activeCell="I1" sqref="I1"/>
    </sheetView>
  </sheetViews>
  <sheetFormatPr baseColWidth="10" defaultColWidth="11.42578125" defaultRowHeight="12.75" x14ac:dyDescent="0.2"/>
  <cols>
    <col min="1" max="1" width="8.7109375" style="395" bestFit="1" customWidth="1"/>
    <col min="2" max="2" width="13.140625" style="395" bestFit="1" customWidth="1"/>
    <col min="3" max="3" width="1.28515625" style="395" customWidth="1"/>
    <col min="4" max="4" width="12.7109375" style="395" customWidth="1"/>
    <col min="5" max="5" width="8.7109375" style="395" bestFit="1" customWidth="1"/>
    <col min="6" max="6" width="13.140625" style="395" bestFit="1" customWidth="1"/>
    <col min="7" max="7" width="1.28515625" style="395" customWidth="1"/>
    <col min="8" max="8" width="11.140625" style="395" customWidth="1"/>
    <col min="9" max="9" width="27.140625" style="395" customWidth="1"/>
    <col min="10" max="10" width="13.140625" style="395" bestFit="1" customWidth="1"/>
    <col min="11" max="11" width="1.5703125" style="395" bestFit="1" customWidth="1"/>
    <col min="12" max="12" width="10.7109375" style="395" customWidth="1"/>
    <col min="13" max="13" width="27.28515625" style="395" customWidth="1"/>
    <col min="14" max="256" width="11.42578125" style="395"/>
    <col min="257" max="257" width="3" style="395" bestFit="1" customWidth="1"/>
    <col min="258" max="258" width="13.140625" style="395" bestFit="1" customWidth="1"/>
    <col min="259" max="259" width="1.5703125" style="395" bestFit="1" customWidth="1"/>
    <col min="260" max="260" width="10.5703125" style="395" customWidth="1"/>
    <col min="261" max="261" width="3" style="395" bestFit="1" customWidth="1"/>
    <col min="262" max="262" width="13.140625" style="395" bestFit="1" customWidth="1"/>
    <col min="263" max="263" width="1.5703125" style="395" bestFit="1" customWidth="1"/>
    <col min="264" max="264" width="11.140625" style="395" customWidth="1"/>
    <col min="265" max="265" width="27.140625" style="395" customWidth="1"/>
    <col min="266" max="266" width="13.140625" style="395" bestFit="1" customWidth="1"/>
    <col min="267" max="267" width="1.5703125" style="395" bestFit="1" customWidth="1"/>
    <col min="268" max="268" width="10.7109375" style="395" customWidth="1"/>
    <col min="269" max="269" width="27.28515625" style="395" customWidth="1"/>
    <col min="270" max="512" width="11.42578125" style="395"/>
    <col min="513" max="513" width="3" style="395" bestFit="1" customWidth="1"/>
    <col min="514" max="514" width="13.140625" style="395" bestFit="1" customWidth="1"/>
    <col min="515" max="515" width="1.5703125" style="395" bestFit="1" customWidth="1"/>
    <col min="516" max="516" width="10.5703125" style="395" customWidth="1"/>
    <col min="517" max="517" width="3" style="395" bestFit="1" customWidth="1"/>
    <col min="518" max="518" width="13.140625" style="395" bestFit="1" customWidth="1"/>
    <col min="519" max="519" width="1.5703125" style="395" bestFit="1" customWidth="1"/>
    <col min="520" max="520" width="11.140625" style="395" customWidth="1"/>
    <col min="521" max="521" width="27.140625" style="395" customWidth="1"/>
    <col min="522" max="522" width="13.140625" style="395" bestFit="1" customWidth="1"/>
    <col min="523" max="523" width="1.5703125" style="395" bestFit="1" customWidth="1"/>
    <col min="524" max="524" width="10.7109375" style="395" customWidth="1"/>
    <col min="525" max="525" width="27.28515625" style="395" customWidth="1"/>
    <col min="526" max="768" width="11.42578125" style="395"/>
    <col min="769" max="769" width="3" style="395" bestFit="1" customWidth="1"/>
    <col min="770" max="770" width="13.140625" style="395" bestFit="1" customWidth="1"/>
    <col min="771" max="771" width="1.5703125" style="395" bestFit="1" customWidth="1"/>
    <col min="772" max="772" width="10.5703125" style="395" customWidth="1"/>
    <col min="773" max="773" width="3" style="395" bestFit="1" customWidth="1"/>
    <col min="774" max="774" width="13.140625" style="395" bestFit="1" customWidth="1"/>
    <col min="775" max="775" width="1.5703125" style="395" bestFit="1" customWidth="1"/>
    <col min="776" max="776" width="11.140625" style="395" customWidth="1"/>
    <col min="777" max="777" width="27.140625" style="395" customWidth="1"/>
    <col min="778" max="778" width="13.140625" style="395" bestFit="1" customWidth="1"/>
    <col min="779" max="779" width="1.5703125" style="395" bestFit="1" customWidth="1"/>
    <col min="780" max="780" width="10.7109375" style="395" customWidth="1"/>
    <col min="781" max="781" width="27.28515625" style="395" customWidth="1"/>
    <col min="782" max="1024" width="11.42578125" style="395"/>
    <col min="1025" max="1025" width="3" style="395" bestFit="1" customWidth="1"/>
    <col min="1026" max="1026" width="13.140625" style="395" bestFit="1" customWidth="1"/>
    <col min="1027" max="1027" width="1.5703125" style="395" bestFit="1" customWidth="1"/>
    <col min="1028" max="1028" width="10.5703125" style="395" customWidth="1"/>
    <col min="1029" max="1029" width="3" style="395" bestFit="1" customWidth="1"/>
    <col min="1030" max="1030" width="13.140625" style="395" bestFit="1" customWidth="1"/>
    <col min="1031" max="1031" width="1.5703125" style="395" bestFit="1" customWidth="1"/>
    <col min="1032" max="1032" width="11.140625" style="395" customWidth="1"/>
    <col min="1033" max="1033" width="27.140625" style="395" customWidth="1"/>
    <col min="1034" max="1034" width="13.140625" style="395" bestFit="1" customWidth="1"/>
    <col min="1035" max="1035" width="1.5703125" style="395" bestFit="1" customWidth="1"/>
    <col min="1036" max="1036" width="10.7109375" style="395" customWidth="1"/>
    <col min="1037" max="1037" width="27.28515625" style="395" customWidth="1"/>
    <col min="1038" max="1280" width="11.42578125" style="395"/>
    <col min="1281" max="1281" width="3" style="395" bestFit="1" customWidth="1"/>
    <col min="1282" max="1282" width="13.140625" style="395" bestFit="1" customWidth="1"/>
    <col min="1283" max="1283" width="1.5703125" style="395" bestFit="1" customWidth="1"/>
    <col min="1284" max="1284" width="10.5703125" style="395" customWidth="1"/>
    <col min="1285" max="1285" width="3" style="395" bestFit="1" customWidth="1"/>
    <col min="1286" max="1286" width="13.140625" style="395" bestFit="1" customWidth="1"/>
    <col min="1287" max="1287" width="1.5703125" style="395" bestFit="1" customWidth="1"/>
    <col min="1288" max="1288" width="11.140625" style="395" customWidth="1"/>
    <col min="1289" max="1289" width="27.140625" style="395" customWidth="1"/>
    <col min="1290" max="1290" width="13.140625" style="395" bestFit="1" customWidth="1"/>
    <col min="1291" max="1291" width="1.5703125" style="395" bestFit="1" customWidth="1"/>
    <col min="1292" max="1292" width="10.7109375" style="395" customWidth="1"/>
    <col min="1293" max="1293" width="27.28515625" style="395" customWidth="1"/>
    <col min="1294" max="1536" width="11.42578125" style="395"/>
    <col min="1537" max="1537" width="3" style="395" bestFit="1" customWidth="1"/>
    <col min="1538" max="1538" width="13.140625" style="395" bestFit="1" customWidth="1"/>
    <col min="1539" max="1539" width="1.5703125" style="395" bestFit="1" customWidth="1"/>
    <col min="1540" max="1540" width="10.5703125" style="395" customWidth="1"/>
    <col min="1541" max="1541" width="3" style="395" bestFit="1" customWidth="1"/>
    <col min="1542" max="1542" width="13.140625" style="395" bestFit="1" customWidth="1"/>
    <col min="1543" max="1543" width="1.5703125" style="395" bestFit="1" customWidth="1"/>
    <col min="1544" max="1544" width="11.140625" style="395" customWidth="1"/>
    <col min="1545" max="1545" width="27.140625" style="395" customWidth="1"/>
    <col min="1546" max="1546" width="13.140625" style="395" bestFit="1" customWidth="1"/>
    <col min="1547" max="1547" width="1.5703125" style="395" bestFit="1" customWidth="1"/>
    <col min="1548" max="1548" width="10.7109375" style="395" customWidth="1"/>
    <col min="1549" max="1549" width="27.28515625" style="395" customWidth="1"/>
    <col min="1550" max="1792" width="11.42578125" style="395"/>
    <col min="1793" max="1793" width="3" style="395" bestFit="1" customWidth="1"/>
    <col min="1794" max="1794" width="13.140625" style="395" bestFit="1" customWidth="1"/>
    <col min="1795" max="1795" width="1.5703125" style="395" bestFit="1" customWidth="1"/>
    <col min="1796" max="1796" width="10.5703125" style="395" customWidth="1"/>
    <col min="1797" max="1797" width="3" style="395" bestFit="1" customWidth="1"/>
    <col min="1798" max="1798" width="13.140625" style="395" bestFit="1" customWidth="1"/>
    <col min="1799" max="1799" width="1.5703125" style="395" bestFit="1" customWidth="1"/>
    <col min="1800" max="1800" width="11.140625" style="395" customWidth="1"/>
    <col min="1801" max="1801" width="27.140625" style="395" customWidth="1"/>
    <col min="1802" max="1802" width="13.140625" style="395" bestFit="1" customWidth="1"/>
    <col min="1803" max="1803" width="1.5703125" style="395" bestFit="1" customWidth="1"/>
    <col min="1804" max="1804" width="10.7109375" style="395" customWidth="1"/>
    <col min="1805" max="1805" width="27.28515625" style="395" customWidth="1"/>
    <col min="1806" max="2048" width="11.42578125" style="395"/>
    <col min="2049" max="2049" width="3" style="395" bestFit="1" customWidth="1"/>
    <col min="2050" max="2050" width="13.140625" style="395" bestFit="1" customWidth="1"/>
    <col min="2051" max="2051" width="1.5703125" style="395" bestFit="1" customWidth="1"/>
    <col min="2052" max="2052" width="10.5703125" style="395" customWidth="1"/>
    <col min="2053" max="2053" width="3" style="395" bestFit="1" customWidth="1"/>
    <col min="2054" max="2054" width="13.140625" style="395" bestFit="1" customWidth="1"/>
    <col min="2055" max="2055" width="1.5703125" style="395" bestFit="1" customWidth="1"/>
    <col min="2056" max="2056" width="11.140625" style="395" customWidth="1"/>
    <col min="2057" max="2057" width="27.140625" style="395" customWidth="1"/>
    <col min="2058" max="2058" width="13.140625" style="395" bestFit="1" customWidth="1"/>
    <col min="2059" max="2059" width="1.5703125" style="395" bestFit="1" customWidth="1"/>
    <col min="2060" max="2060" width="10.7109375" style="395" customWidth="1"/>
    <col min="2061" max="2061" width="27.28515625" style="395" customWidth="1"/>
    <col min="2062" max="2304" width="11.42578125" style="395"/>
    <col min="2305" max="2305" width="3" style="395" bestFit="1" customWidth="1"/>
    <col min="2306" max="2306" width="13.140625" style="395" bestFit="1" customWidth="1"/>
    <col min="2307" max="2307" width="1.5703125" style="395" bestFit="1" customWidth="1"/>
    <col min="2308" max="2308" width="10.5703125" style="395" customWidth="1"/>
    <col min="2309" max="2309" width="3" style="395" bestFit="1" customWidth="1"/>
    <col min="2310" max="2310" width="13.140625" style="395" bestFit="1" customWidth="1"/>
    <col min="2311" max="2311" width="1.5703125" style="395" bestFit="1" customWidth="1"/>
    <col min="2312" max="2312" width="11.140625" style="395" customWidth="1"/>
    <col min="2313" max="2313" width="27.140625" style="395" customWidth="1"/>
    <col min="2314" max="2314" width="13.140625" style="395" bestFit="1" customWidth="1"/>
    <col min="2315" max="2315" width="1.5703125" style="395" bestFit="1" customWidth="1"/>
    <col min="2316" max="2316" width="10.7109375" style="395" customWidth="1"/>
    <col min="2317" max="2317" width="27.28515625" style="395" customWidth="1"/>
    <col min="2318" max="2560" width="11.42578125" style="395"/>
    <col min="2561" max="2561" width="3" style="395" bestFit="1" customWidth="1"/>
    <col min="2562" max="2562" width="13.140625" style="395" bestFit="1" customWidth="1"/>
    <col min="2563" max="2563" width="1.5703125" style="395" bestFit="1" customWidth="1"/>
    <col min="2564" max="2564" width="10.5703125" style="395" customWidth="1"/>
    <col min="2565" max="2565" width="3" style="395" bestFit="1" customWidth="1"/>
    <col min="2566" max="2566" width="13.140625" style="395" bestFit="1" customWidth="1"/>
    <col min="2567" max="2567" width="1.5703125" style="395" bestFit="1" customWidth="1"/>
    <col min="2568" max="2568" width="11.140625" style="395" customWidth="1"/>
    <col min="2569" max="2569" width="27.140625" style="395" customWidth="1"/>
    <col min="2570" max="2570" width="13.140625" style="395" bestFit="1" customWidth="1"/>
    <col min="2571" max="2571" width="1.5703125" style="395" bestFit="1" customWidth="1"/>
    <col min="2572" max="2572" width="10.7109375" style="395" customWidth="1"/>
    <col min="2573" max="2573" width="27.28515625" style="395" customWidth="1"/>
    <col min="2574" max="2816" width="11.42578125" style="395"/>
    <col min="2817" max="2817" width="3" style="395" bestFit="1" customWidth="1"/>
    <col min="2818" max="2818" width="13.140625" style="395" bestFit="1" customWidth="1"/>
    <col min="2819" max="2819" width="1.5703125" style="395" bestFit="1" customWidth="1"/>
    <col min="2820" max="2820" width="10.5703125" style="395" customWidth="1"/>
    <col min="2821" max="2821" width="3" style="395" bestFit="1" customWidth="1"/>
    <col min="2822" max="2822" width="13.140625" style="395" bestFit="1" customWidth="1"/>
    <col min="2823" max="2823" width="1.5703125" style="395" bestFit="1" customWidth="1"/>
    <col min="2824" max="2824" width="11.140625" style="395" customWidth="1"/>
    <col min="2825" max="2825" width="27.140625" style="395" customWidth="1"/>
    <col min="2826" max="2826" width="13.140625" style="395" bestFit="1" customWidth="1"/>
    <col min="2827" max="2827" width="1.5703125" style="395" bestFit="1" customWidth="1"/>
    <col min="2828" max="2828" width="10.7109375" style="395" customWidth="1"/>
    <col min="2829" max="2829" width="27.28515625" style="395" customWidth="1"/>
    <col min="2830" max="3072" width="11.42578125" style="395"/>
    <col min="3073" max="3073" width="3" style="395" bestFit="1" customWidth="1"/>
    <col min="3074" max="3074" width="13.140625" style="395" bestFit="1" customWidth="1"/>
    <col min="3075" max="3075" width="1.5703125" style="395" bestFit="1" customWidth="1"/>
    <col min="3076" max="3076" width="10.5703125" style="395" customWidth="1"/>
    <col min="3077" max="3077" width="3" style="395" bestFit="1" customWidth="1"/>
    <col min="3078" max="3078" width="13.140625" style="395" bestFit="1" customWidth="1"/>
    <col min="3079" max="3079" width="1.5703125" style="395" bestFit="1" customWidth="1"/>
    <col min="3080" max="3080" width="11.140625" style="395" customWidth="1"/>
    <col min="3081" max="3081" width="27.140625" style="395" customWidth="1"/>
    <col min="3082" max="3082" width="13.140625" style="395" bestFit="1" customWidth="1"/>
    <col min="3083" max="3083" width="1.5703125" style="395" bestFit="1" customWidth="1"/>
    <col min="3084" max="3084" width="10.7109375" style="395" customWidth="1"/>
    <col min="3085" max="3085" width="27.28515625" style="395" customWidth="1"/>
    <col min="3086" max="3328" width="11.42578125" style="395"/>
    <col min="3329" max="3329" width="3" style="395" bestFit="1" customWidth="1"/>
    <col min="3330" max="3330" width="13.140625" style="395" bestFit="1" customWidth="1"/>
    <col min="3331" max="3331" width="1.5703125" style="395" bestFit="1" customWidth="1"/>
    <col min="3332" max="3332" width="10.5703125" style="395" customWidth="1"/>
    <col min="3333" max="3333" width="3" style="395" bestFit="1" customWidth="1"/>
    <col min="3334" max="3334" width="13.140625" style="395" bestFit="1" customWidth="1"/>
    <col min="3335" max="3335" width="1.5703125" style="395" bestFit="1" customWidth="1"/>
    <col min="3336" max="3336" width="11.140625" style="395" customWidth="1"/>
    <col min="3337" max="3337" width="27.140625" style="395" customWidth="1"/>
    <col min="3338" max="3338" width="13.140625" style="395" bestFit="1" customWidth="1"/>
    <col min="3339" max="3339" width="1.5703125" style="395" bestFit="1" customWidth="1"/>
    <col min="3340" max="3340" width="10.7109375" style="395" customWidth="1"/>
    <col min="3341" max="3341" width="27.28515625" style="395" customWidth="1"/>
    <col min="3342" max="3584" width="11.42578125" style="395"/>
    <col min="3585" max="3585" width="3" style="395" bestFit="1" customWidth="1"/>
    <col min="3586" max="3586" width="13.140625" style="395" bestFit="1" customWidth="1"/>
    <col min="3587" max="3587" width="1.5703125" style="395" bestFit="1" customWidth="1"/>
    <col min="3588" max="3588" width="10.5703125" style="395" customWidth="1"/>
    <col min="3589" max="3589" width="3" style="395" bestFit="1" customWidth="1"/>
    <col min="3590" max="3590" width="13.140625" style="395" bestFit="1" customWidth="1"/>
    <col min="3591" max="3591" width="1.5703125" style="395" bestFit="1" customWidth="1"/>
    <col min="3592" max="3592" width="11.140625" style="395" customWidth="1"/>
    <col min="3593" max="3593" width="27.140625" style="395" customWidth="1"/>
    <col min="3594" max="3594" width="13.140625" style="395" bestFit="1" customWidth="1"/>
    <col min="3595" max="3595" width="1.5703125" style="395" bestFit="1" customWidth="1"/>
    <col min="3596" max="3596" width="10.7109375" style="395" customWidth="1"/>
    <col min="3597" max="3597" width="27.28515625" style="395" customWidth="1"/>
    <col min="3598" max="3840" width="11.42578125" style="395"/>
    <col min="3841" max="3841" width="3" style="395" bestFit="1" customWidth="1"/>
    <col min="3842" max="3842" width="13.140625" style="395" bestFit="1" customWidth="1"/>
    <col min="3843" max="3843" width="1.5703125" style="395" bestFit="1" customWidth="1"/>
    <col min="3844" max="3844" width="10.5703125" style="395" customWidth="1"/>
    <col min="3845" max="3845" width="3" style="395" bestFit="1" customWidth="1"/>
    <col min="3846" max="3846" width="13.140625" style="395" bestFit="1" customWidth="1"/>
    <col min="3847" max="3847" width="1.5703125" style="395" bestFit="1" customWidth="1"/>
    <col min="3848" max="3848" width="11.140625" style="395" customWidth="1"/>
    <col min="3849" max="3849" width="27.140625" style="395" customWidth="1"/>
    <col min="3850" max="3850" width="13.140625" style="395" bestFit="1" customWidth="1"/>
    <col min="3851" max="3851" width="1.5703125" style="395" bestFit="1" customWidth="1"/>
    <col min="3852" max="3852" width="10.7109375" style="395" customWidth="1"/>
    <col min="3853" max="3853" width="27.28515625" style="395" customWidth="1"/>
    <col min="3854" max="4096" width="11.42578125" style="395"/>
    <col min="4097" max="4097" width="3" style="395" bestFit="1" customWidth="1"/>
    <col min="4098" max="4098" width="13.140625" style="395" bestFit="1" customWidth="1"/>
    <col min="4099" max="4099" width="1.5703125" style="395" bestFit="1" customWidth="1"/>
    <col min="4100" max="4100" width="10.5703125" style="395" customWidth="1"/>
    <col min="4101" max="4101" width="3" style="395" bestFit="1" customWidth="1"/>
    <col min="4102" max="4102" width="13.140625" style="395" bestFit="1" customWidth="1"/>
    <col min="4103" max="4103" width="1.5703125" style="395" bestFit="1" customWidth="1"/>
    <col min="4104" max="4104" width="11.140625" style="395" customWidth="1"/>
    <col min="4105" max="4105" width="27.140625" style="395" customWidth="1"/>
    <col min="4106" max="4106" width="13.140625" style="395" bestFit="1" customWidth="1"/>
    <col min="4107" max="4107" width="1.5703125" style="395" bestFit="1" customWidth="1"/>
    <col min="4108" max="4108" width="10.7109375" style="395" customWidth="1"/>
    <col min="4109" max="4109" width="27.28515625" style="395" customWidth="1"/>
    <col min="4110" max="4352" width="11.42578125" style="395"/>
    <col min="4353" max="4353" width="3" style="395" bestFit="1" customWidth="1"/>
    <col min="4354" max="4354" width="13.140625" style="395" bestFit="1" customWidth="1"/>
    <col min="4355" max="4355" width="1.5703125" style="395" bestFit="1" customWidth="1"/>
    <col min="4356" max="4356" width="10.5703125" style="395" customWidth="1"/>
    <col min="4357" max="4357" width="3" style="395" bestFit="1" customWidth="1"/>
    <col min="4358" max="4358" width="13.140625" style="395" bestFit="1" customWidth="1"/>
    <col min="4359" max="4359" width="1.5703125" style="395" bestFit="1" customWidth="1"/>
    <col min="4360" max="4360" width="11.140625" style="395" customWidth="1"/>
    <col min="4361" max="4361" width="27.140625" style="395" customWidth="1"/>
    <col min="4362" max="4362" width="13.140625" style="395" bestFit="1" customWidth="1"/>
    <col min="4363" max="4363" width="1.5703125" style="395" bestFit="1" customWidth="1"/>
    <col min="4364" max="4364" width="10.7109375" style="395" customWidth="1"/>
    <col min="4365" max="4365" width="27.28515625" style="395" customWidth="1"/>
    <col min="4366" max="4608" width="11.42578125" style="395"/>
    <col min="4609" max="4609" width="3" style="395" bestFit="1" customWidth="1"/>
    <col min="4610" max="4610" width="13.140625" style="395" bestFit="1" customWidth="1"/>
    <col min="4611" max="4611" width="1.5703125" style="395" bestFit="1" customWidth="1"/>
    <col min="4612" max="4612" width="10.5703125" style="395" customWidth="1"/>
    <col min="4613" max="4613" width="3" style="395" bestFit="1" customWidth="1"/>
    <col min="4614" max="4614" width="13.140625" style="395" bestFit="1" customWidth="1"/>
    <col min="4615" max="4615" width="1.5703125" style="395" bestFit="1" customWidth="1"/>
    <col min="4616" max="4616" width="11.140625" style="395" customWidth="1"/>
    <col min="4617" max="4617" width="27.140625" style="395" customWidth="1"/>
    <col min="4618" max="4618" width="13.140625" style="395" bestFit="1" customWidth="1"/>
    <col min="4619" max="4619" width="1.5703125" style="395" bestFit="1" customWidth="1"/>
    <col min="4620" max="4620" width="10.7109375" style="395" customWidth="1"/>
    <col min="4621" max="4621" width="27.28515625" style="395" customWidth="1"/>
    <col min="4622" max="4864" width="11.42578125" style="395"/>
    <col min="4865" max="4865" width="3" style="395" bestFit="1" customWidth="1"/>
    <col min="4866" max="4866" width="13.140625" style="395" bestFit="1" customWidth="1"/>
    <col min="4867" max="4867" width="1.5703125" style="395" bestFit="1" customWidth="1"/>
    <col min="4868" max="4868" width="10.5703125" style="395" customWidth="1"/>
    <col min="4869" max="4869" width="3" style="395" bestFit="1" customWidth="1"/>
    <col min="4870" max="4870" width="13.140625" style="395" bestFit="1" customWidth="1"/>
    <col min="4871" max="4871" width="1.5703125" style="395" bestFit="1" customWidth="1"/>
    <col min="4872" max="4872" width="11.140625" style="395" customWidth="1"/>
    <col min="4873" max="4873" width="27.140625" style="395" customWidth="1"/>
    <col min="4874" max="4874" width="13.140625" style="395" bestFit="1" customWidth="1"/>
    <col min="4875" max="4875" width="1.5703125" style="395" bestFit="1" customWidth="1"/>
    <col min="4876" max="4876" width="10.7109375" style="395" customWidth="1"/>
    <col min="4877" max="4877" width="27.28515625" style="395" customWidth="1"/>
    <col min="4878" max="5120" width="11.42578125" style="395"/>
    <col min="5121" max="5121" width="3" style="395" bestFit="1" customWidth="1"/>
    <col min="5122" max="5122" width="13.140625" style="395" bestFit="1" customWidth="1"/>
    <col min="5123" max="5123" width="1.5703125" style="395" bestFit="1" customWidth="1"/>
    <col min="5124" max="5124" width="10.5703125" style="395" customWidth="1"/>
    <col min="5125" max="5125" width="3" style="395" bestFit="1" customWidth="1"/>
    <col min="5126" max="5126" width="13.140625" style="395" bestFit="1" customWidth="1"/>
    <col min="5127" max="5127" width="1.5703125" style="395" bestFit="1" customWidth="1"/>
    <col min="5128" max="5128" width="11.140625" style="395" customWidth="1"/>
    <col min="5129" max="5129" width="27.140625" style="395" customWidth="1"/>
    <col min="5130" max="5130" width="13.140625" style="395" bestFit="1" customWidth="1"/>
    <col min="5131" max="5131" width="1.5703125" style="395" bestFit="1" customWidth="1"/>
    <col min="5132" max="5132" width="10.7109375" style="395" customWidth="1"/>
    <col min="5133" max="5133" width="27.28515625" style="395" customWidth="1"/>
    <col min="5134" max="5376" width="11.42578125" style="395"/>
    <col min="5377" max="5377" width="3" style="395" bestFit="1" customWidth="1"/>
    <col min="5378" max="5378" width="13.140625" style="395" bestFit="1" customWidth="1"/>
    <col min="5379" max="5379" width="1.5703125" style="395" bestFit="1" customWidth="1"/>
    <col min="5380" max="5380" width="10.5703125" style="395" customWidth="1"/>
    <col min="5381" max="5381" width="3" style="395" bestFit="1" customWidth="1"/>
    <col min="5382" max="5382" width="13.140625" style="395" bestFit="1" customWidth="1"/>
    <col min="5383" max="5383" width="1.5703125" style="395" bestFit="1" customWidth="1"/>
    <col min="5384" max="5384" width="11.140625" style="395" customWidth="1"/>
    <col min="5385" max="5385" width="27.140625" style="395" customWidth="1"/>
    <col min="5386" max="5386" width="13.140625" style="395" bestFit="1" customWidth="1"/>
    <col min="5387" max="5387" width="1.5703125" style="395" bestFit="1" customWidth="1"/>
    <col min="5388" max="5388" width="10.7109375" style="395" customWidth="1"/>
    <col min="5389" max="5389" width="27.28515625" style="395" customWidth="1"/>
    <col min="5390" max="5632" width="11.42578125" style="395"/>
    <col min="5633" max="5633" width="3" style="395" bestFit="1" customWidth="1"/>
    <col min="5634" max="5634" width="13.140625" style="395" bestFit="1" customWidth="1"/>
    <col min="5635" max="5635" width="1.5703125" style="395" bestFit="1" customWidth="1"/>
    <col min="5636" max="5636" width="10.5703125" style="395" customWidth="1"/>
    <col min="5637" max="5637" width="3" style="395" bestFit="1" customWidth="1"/>
    <col min="5638" max="5638" width="13.140625" style="395" bestFit="1" customWidth="1"/>
    <col min="5639" max="5639" width="1.5703125" style="395" bestFit="1" customWidth="1"/>
    <col min="5640" max="5640" width="11.140625" style="395" customWidth="1"/>
    <col min="5641" max="5641" width="27.140625" style="395" customWidth="1"/>
    <col min="5642" max="5642" width="13.140625" style="395" bestFit="1" customWidth="1"/>
    <col min="5643" max="5643" width="1.5703125" style="395" bestFit="1" customWidth="1"/>
    <col min="5644" max="5644" width="10.7109375" style="395" customWidth="1"/>
    <col min="5645" max="5645" width="27.28515625" style="395" customWidth="1"/>
    <col min="5646" max="5888" width="11.42578125" style="395"/>
    <col min="5889" max="5889" width="3" style="395" bestFit="1" customWidth="1"/>
    <col min="5890" max="5890" width="13.140625" style="395" bestFit="1" customWidth="1"/>
    <col min="5891" max="5891" width="1.5703125" style="395" bestFit="1" customWidth="1"/>
    <col min="5892" max="5892" width="10.5703125" style="395" customWidth="1"/>
    <col min="5893" max="5893" width="3" style="395" bestFit="1" customWidth="1"/>
    <col min="5894" max="5894" width="13.140625" style="395" bestFit="1" customWidth="1"/>
    <col min="5895" max="5895" width="1.5703125" style="395" bestFit="1" customWidth="1"/>
    <col min="5896" max="5896" width="11.140625" style="395" customWidth="1"/>
    <col min="5897" max="5897" width="27.140625" style="395" customWidth="1"/>
    <col min="5898" max="5898" width="13.140625" style="395" bestFit="1" customWidth="1"/>
    <col min="5899" max="5899" width="1.5703125" style="395" bestFit="1" customWidth="1"/>
    <col min="5900" max="5900" width="10.7109375" style="395" customWidth="1"/>
    <col min="5901" max="5901" width="27.28515625" style="395" customWidth="1"/>
    <col min="5902" max="6144" width="11.42578125" style="395"/>
    <col min="6145" max="6145" width="3" style="395" bestFit="1" customWidth="1"/>
    <col min="6146" max="6146" width="13.140625" style="395" bestFit="1" customWidth="1"/>
    <col min="6147" max="6147" width="1.5703125" style="395" bestFit="1" customWidth="1"/>
    <col min="6148" max="6148" width="10.5703125" style="395" customWidth="1"/>
    <col min="6149" max="6149" width="3" style="395" bestFit="1" customWidth="1"/>
    <col min="6150" max="6150" width="13.140625" style="395" bestFit="1" customWidth="1"/>
    <col min="6151" max="6151" width="1.5703125" style="395" bestFit="1" customWidth="1"/>
    <col min="6152" max="6152" width="11.140625" style="395" customWidth="1"/>
    <col min="6153" max="6153" width="27.140625" style="395" customWidth="1"/>
    <col min="6154" max="6154" width="13.140625" style="395" bestFit="1" customWidth="1"/>
    <col min="6155" max="6155" width="1.5703125" style="395" bestFit="1" customWidth="1"/>
    <col min="6156" max="6156" width="10.7109375" style="395" customWidth="1"/>
    <col min="6157" max="6157" width="27.28515625" style="395" customWidth="1"/>
    <col min="6158" max="6400" width="11.42578125" style="395"/>
    <col min="6401" max="6401" width="3" style="395" bestFit="1" customWidth="1"/>
    <col min="6402" max="6402" width="13.140625" style="395" bestFit="1" customWidth="1"/>
    <col min="6403" max="6403" width="1.5703125" style="395" bestFit="1" customWidth="1"/>
    <col min="6404" max="6404" width="10.5703125" style="395" customWidth="1"/>
    <col min="6405" max="6405" width="3" style="395" bestFit="1" customWidth="1"/>
    <col min="6406" max="6406" width="13.140625" style="395" bestFit="1" customWidth="1"/>
    <col min="6407" max="6407" width="1.5703125" style="395" bestFit="1" customWidth="1"/>
    <col min="6408" max="6408" width="11.140625" style="395" customWidth="1"/>
    <col min="6409" max="6409" width="27.140625" style="395" customWidth="1"/>
    <col min="6410" max="6410" width="13.140625" style="395" bestFit="1" customWidth="1"/>
    <col min="6411" max="6411" width="1.5703125" style="395" bestFit="1" customWidth="1"/>
    <col min="6412" max="6412" width="10.7109375" style="395" customWidth="1"/>
    <col min="6413" max="6413" width="27.28515625" style="395" customWidth="1"/>
    <col min="6414" max="6656" width="11.42578125" style="395"/>
    <col min="6657" max="6657" width="3" style="395" bestFit="1" customWidth="1"/>
    <col min="6658" max="6658" width="13.140625" style="395" bestFit="1" customWidth="1"/>
    <col min="6659" max="6659" width="1.5703125" style="395" bestFit="1" customWidth="1"/>
    <col min="6660" max="6660" width="10.5703125" style="395" customWidth="1"/>
    <col min="6661" max="6661" width="3" style="395" bestFit="1" customWidth="1"/>
    <col min="6662" max="6662" width="13.140625" style="395" bestFit="1" customWidth="1"/>
    <col min="6663" max="6663" width="1.5703125" style="395" bestFit="1" customWidth="1"/>
    <col min="6664" max="6664" width="11.140625" style="395" customWidth="1"/>
    <col min="6665" max="6665" width="27.140625" style="395" customWidth="1"/>
    <col min="6666" max="6666" width="13.140625" style="395" bestFit="1" customWidth="1"/>
    <col min="6667" max="6667" width="1.5703125" style="395" bestFit="1" customWidth="1"/>
    <col min="6668" max="6668" width="10.7109375" style="395" customWidth="1"/>
    <col min="6669" max="6669" width="27.28515625" style="395" customWidth="1"/>
    <col min="6670" max="6912" width="11.42578125" style="395"/>
    <col min="6913" max="6913" width="3" style="395" bestFit="1" customWidth="1"/>
    <col min="6914" max="6914" width="13.140625" style="395" bestFit="1" customWidth="1"/>
    <col min="6915" max="6915" width="1.5703125" style="395" bestFit="1" customWidth="1"/>
    <col min="6916" max="6916" width="10.5703125" style="395" customWidth="1"/>
    <col min="6917" max="6917" width="3" style="395" bestFit="1" customWidth="1"/>
    <col min="6918" max="6918" width="13.140625" style="395" bestFit="1" customWidth="1"/>
    <col min="6919" max="6919" width="1.5703125" style="395" bestFit="1" customWidth="1"/>
    <col min="6920" max="6920" width="11.140625" style="395" customWidth="1"/>
    <col min="6921" max="6921" width="27.140625" style="395" customWidth="1"/>
    <col min="6922" max="6922" width="13.140625" style="395" bestFit="1" customWidth="1"/>
    <col min="6923" max="6923" width="1.5703125" style="395" bestFit="1" customWidth="1"/>
    <col min="6924" max="6924" width="10.7109375" style="395" customWidth="1"/>
    <col min="6925" max="6925" width="27.28515625" style="395" customWidth="1"/>
    <col min="6926" max="7168" width="11.42578125" style="395"/>
    <col min="7169" max="7169" width="3" style="395" bestFit="1" customWidth="1"/>
    <col min="7170" max="7170" width="13.140625" style="395" bestFit="1" customWidth="1"/>
    <col min="7171" max="7171" width="1.5703125" style="395" bestFit="1" customWidth="1"/>
    <col min="7172" max="7172" width="10.5703125" style="395" customWidth="1"/>
    <col min="7173" max="7173" width="3" style="395" bestFit="1" customWidth="1"/>
    <col min="7174" max="7174" width="13.140625" style="395" bestFit="1" customWidth="1"/>
    <col min="7175" max="7175" width="1.5703125" style="395" bestFit="1" customWidth="1"/>
    <col min="7176" max="7176" width="11.140625" style="395" customWidth="1"/>
    <col min="7177" max="7177" width="27.140625" style="395" customWidth="1"/>
    <col min="7178" max="7178" width="13.140625" style="395" bestFit="1" customWidth="1"/>
    <col min="7179" max="7179" width="1.5703125" style="395" bestFit="1" customWidth="1"/>
    <col min="7180" max="7180" width="10.7109375" style="395" customWidth="1"/>
    <col min="7181" max="7181" width="27.28515625" style="395" customWidth="1"/>
    <col min="7182" max="7424" width="11.42578125" style="395"/>
    <col min="7425" max="7425" width="3" style="395" bestFit="1" customWidth="1"/>
    <col min="7426" max="7426" width="13.140625" style="395" bestFit="1" customWidth="1"/>
    <col min="7427" max="7427" width="1.5703125" style="395" bestFit="1" customWidth="1"/>
    <col min="7428" max="7428" width="10.5703125" style="395" customWidth="1"/>
    <col min="7429" max="7429" width="3" style="395" bestFit="1" customWidth="1"/>
    <col min="7430" max="7430" width="13.140625" style="395" bestFit="1" customWidth="1"/>
    <col min="7431" max="7431" width="1.5703125" style="395" bestFit="1" customWidth="1"/>
    <col min="7432" max="7432" width="11.140625" style="395" customWidth="1"/>
    <col min="7433" max="7433" width="27.140625" style="395" customWidth="1"/>
    <col min="7434" max="7434" width="13.140625" style="395" bestFit="1" customWidth="1"/>
    <col min="7435" max="7435" width="1.5703125" style="395" bestFit="1" customWidth="1"/>
    <col min="7436" max="7436" width="10.7109375" style="395" customWidth="1"/>
    <col min="7437" max="7437" width="27.28515625" style="395" customWidth="1"/>
    <col min="7438" max="7680" width="11.42578125" style="395"/>
    <col min="7681" max="7681" width="3" style="395" bestFit="1" customWidth="1"/>
    <col min="7682" max="7682" width="13.140625" style="395" bestFit="1" customWidth="1"/>
    <col min="7683" max="7683" width="1.5703125" style="395" bestFit="1" customWidth="1"/>
    <col min="7684" max="7684" width="10.5703125" style="395" customWidth="1"/>
    <col min="7685" max="7685" width="3" style="395" bestFit="1" customWidth="1"/>
    <col min="7686" max="7686" width="13.140625" style="395" bestFit="1" customWidth="1"/>
    <col min="7687" max="7687" width="1.5703125" style="395" bestFit="1" customWidth="1"/>
    <col min="7688" max="7688" width="11.140625" style="395" customWidth="1"/>
    <col min="7689" max="7689" width="27.140625" style="395" customWidth="1"/>
    <col min="7690" max="7690" width="13.140625" style="395" bestFit="1" customWidth="1"/>
    <col min="7691" max="7691" width="1.5703125" style="395" bestFit="1" customWidth="1"/>
    <col min="7692" max="7692" width="10.7109375" style="395" customWidth="1"/>
    <col min="7693" max="7693" width="27.28515625" style="395" customWidth="1"/>
    <col min="7694" max="7936" width="11.42578125" style="395"/>
    <col min="7937" max="7937" width="3" style="395" bestFit="1" customWidth="1"/>
    <col min="7938" max="7938" width="13.140625" style="395" bestFit="1" customWidth="1"/>
    <col min="7939" max="7939" width="1.5703125" style="395" bestFit="1" customWidth="1"/>
    <col min="7940" max="7940" width="10.5703125" style="395" customWidth="1"/>
    <col min="7941" max="7941" width="3" style="395" bestFit="1" customWidth="1"/>
    <col min="7942" max="7942" width="13.140625" style="395" bestFit="1" customWidth="1"/>
    <col min="7943" max="7943" width="1.5703125" style="395" bestFit="1" customWidth="1"/>
    <col min="7944" max="7944" width="11.140625" style="395" customWidth="1"/>
    <col min="7945" max="7945" width="27.140625" style="395" customWidth="1"/>
    <col min="7946" max="7946" width="13.140625" style="395" bestFit="1" customWidth="1"/>
    <col min="7947" max="7947" width="1.5703125" style="395" bestFit="1" customWidth="1"/>
    <col min="7948" max="7948" width="10.7109375" style="395" customWidth="1"/>
    <col min="7949" max="7949" width="27.28515625" style="395" customWidth="1"/>
    <col min="7950" max="8192" width="11.42578125" style="395"/>
    <col min="8193" max="8193" width="3" style="395" bestFit="1" customWidth="1"/>
    <col min="8194" max="8194" width="13.140625" style="395" bestFit="1" customWidth="1"/>
    <col min="8195" max="8195" width="1.5703125" style="395" bestFit="1" customWidth="1"/>
    <col min="8196" max="8196" width="10.5703125" style="395" customWidth="1"/>
    <col min="8197" max="8197" width="3" style="395" bestFit="1" customWidth="1"/>
    <col min="8198" max="8198" width="13.140625" style="395" bestFit="1" customWidth="1"/>
    <col min="8199" max="8199" width="1.5703125" style="395" bestFit="1" customWidth="1"/>
    <col min="8200" max="8200" width="11.140625" style="395" customWidth="1"/>
    <col min="8201" max="8201" width="27.140625" style="395" customWidth="1"/>
    <col min="8202" max="8202" width="13.140625" style="395" bestFit="1" customWidth="1"/>
    <col min="8203" max="8203" width="1.5703125" style="395" bestFit="1" customWidth="1"/>
    <col min="8204" max="8204" width="10.7109375" style="395" customWidth="1"/>
    <col min="8205" max="8205" width="27.28515625" style="395" customWidth="1"/>
    <col min="8206" max="8448" width="11.42578125" style="395"/>
    <col min="8449" max="8449" width="3" style="395" bestFit="1" customWidth="1"/>
    <col min="8450" max="8450" width="13.140625" style="395" bestFit="1" customWidth="1"/>
    <col min="8451" max="8451" width="1.5703125" style="395" bestFit="1" customWidth="1"/>
    <col min="8452" max="8452" width="10.5703125" style="395" customWidth="1"/>
    <col min="8453" max="8453" width="3" style="395" bestFit="1" customWidth="1"/>
    <col min="8454" max="8454" width="13.140625" style="395" bestFit="1" customWidth="1"/>
    <col min="8455" max="8455" width="1.5703125" style="395" bestFit="1" customWidth="1"/>
    <col min="8456" max="8456" width="11.140625" style="395" customWidth="1"/>
    <col min="8457" max="8457" width="27.140625" style="395" customWidth="1"/>
    <col min="8458" max="8458" width="13.140625" style="395" bestFit="1" customWidth="1"/>
    <col min="8459" max="8459" width="1.5703125" style="395" bestFit="1" customWidth="1"/>
    <col min="8460" max="8460" width="10.7109375" style="395" customWidth="1"/>
    <col min="8461" max="8461" width="27.28515625" style="395" customWidth="1"/>
    <col min="8462" max="8704" width="11.42578125" style="395"/>
    <col min="8705" max="8705" width="3" style="395" bestFit="1" customWidth="1"/>
    <col min="8706" max="8706" width="13.140625" style="395" bestFit="1" customWidth="1"/>
    <col min="8707" max="8707" width="1.5703125" style="395" bestFit="1" customWidth="1"/>
    <col min="8708" max="8708" width="10.5703125" style="395" customWidth="1"/>
    <col min="8709" max="8709" width="3" style="395" bestFit="1" customWidth="1"/>
    <col min="8710" max="8710" width="13.140625" style="395" bestFit="1" customWidth="1"/>
    <col min="8711" max="8711" width="1.5703125" style="395" bestFit="1" customWidth="1"/>
    <col min="8712" max="8712" width="11.140625" style="395" customWidth="1"/>
    <col min="8713" max="8713" width="27.140625" style="395" customWidth="1"/>
    <col min="8714" max="8714" width="13.140625" style="395" bestFit="1" customWidth="1"/>
    <col min="8715" max="8715" width="1.5703125" style="395" bestFit="1" customWidth="1"/>
    <col min="8716" max="8716" width="10.7109375" style="395" customWidth="1"/>
    <col min="8717" max="8717" width="27.28515625" style="395" customWidth="1"/>
    <col min="8718" max="8960" width="11.42578125" style="395"/>
    <col min="8961" max="8961" width="3" style="395" bestFit="1" customWidth="1"/>
    <col min="8962" max="8962" width="13.140625" style="395" bestFit="1" customWidth="1"/>
    <col min="8963" max="8963" width="1.5703125" style="395" bestFit="1" customWidth="1"/>
    <col min="8964" max="8964" width="10.5703125" style="395" customWidth="1"/>
    <col min="8965" max="8965" width="3" style="395" bestFit="1" customWidth="1"/>
    <col min="8966" max="8966" width="13.140625" style="395" bestFit="1" customWidth="1"/>
    <col min="8967" max="8967" width="1.5703125" style="395" bestFit="1" customWidth="1"/>
    <col min="8968" max="8968" width="11.140625" style="395" customWidth="1"/>
    <col min="8969" max="8969" width="27.140625" style="395" customWidth="1"/>
    <col min="8970" max="8970" width="13.140625" style="395" bestFit="1" customWidth="1"/>
    <col min="8971" max="8971" width="1.5703125" style="395" bestFit="1" customWidth="1"/>
    <col min="8972" max="8972" width="10.7109375" style="395" customWidth="1"/>
    <col min="8973" max="8973" width="27.28515625" style="395" customWidth="1"/>
    <col min="8974" max="9216" width="11.42578125" style="395"/>
    <col min="9217" max="9217" width="3" style="395" bestFit="1" customWidth="1"/>
    <col min="9218" max="9218" width="13.140625" style="395" bestFit="1" customWidth="1"/>
    <col min="9219" max="9219" width="1.5703125" style="395" bestFit="1" customWidth="1"/>
    <col min="9220" max="9220" width="10.5703125" style="395" customWidth="1"/>
    <col min="9221" max="9221" width="3" style="395" bestFit="1" customWidth="1"/>
    <col min="9222" max="9222" width="13.140625" style="395" bestFit="1" customWidth="1"/>
    <col min="9223" max="9223" width="1.5703125" style="395" bestFit="1" customWidth="1"/>
    <col min="9224" max="9224" width="11.140625" style="395" customWidth="1"/>
    <col min="9225" max="9225" width="27.140625" style="395" customWidth="1"/>
    <col min="9226" max="9226" width="13.140625" style="395" bestFit="1" customWidth="1"/>
    <col min="9227" max="9227" width="1.5703125" style="395" bestFit="1" customWidth="1"/>
    <col min="9228" max="9228" width="10.7109375" style="395" customWidth="1"/>
    <col min="9229" max="9229" width="27.28515625" style="395" customWidth="1"/>
    <col min="9230" max="9472" width="11.42578125" style="395"/>
    <col min="9473" max="9473" width="3" style="395" bestFit="1" customWidth="1"/>
    <col min="9474" max="9474" width="13.140625" style="395" bestFit="1" customWidth="1"/>
    <col min="9475" max="9475" width="1.5703125" style="395" bestFit="1" customWidth="1"/>
    <col min="9476" max="9476" width="10.5703125" style="395" customWidth="1"/>
    <col min="9477" max="9477" width="3" style="395" bestFit="1" customWidth="1"/>
    <col min="9478" max="9478" width="13.140625" style="395" bestFit="1" customWidth="1"/>
    <col min="9479" max="9479" width="1.5703125" style="395" bestFit="1" customWidth="1"/>
    <col min="9480" max="9480" width="11.140625" style="395" customWidth="1"/>
    <col min="9481" max="9481" width="27.140625" style="395" customWidth="1"/>
    <col min="9482" max="9482" width="13.140625" style="395" bestFit="1" customWidth="1"/>
    <col min="9483" max="9483" width="1.5703125" style="395" bestFit="1" customWidth="1"/>
    <col min="9484" max="9484" width="10.7109375" style="395" customWidth="1"/>
    <col min="9485" max="9485" width="27.28515625" style="395" customWidth="1"/>
    <col min="9486" max="9728" width="11.42578125" style="395"/>
    <col min="9729" max="9729" width="3" style="395" bestFit="1" customWidth="1"/>
    <col min="9730" max="9730" width="13.140625" style="395" bestFit="1" customWidth="1"/>
    <col min="9731" max="9731" width="1.5703125" style="395" bestFit="1" customWidth="1"/>
    <col min="9732" max="9732" width="10.5703125" style="395" customWidth="1"/>
    <col min="9733" max="9733" width="3" style="395" bestFit="1" customWidth="1"/>
    <col min="9734" max="9734" width="13.140625" style="395" bestFit="1" customWidth="1"/>
    <col min="9735" max="9735" width="1.5703125" style="395" bestFit="1" customWidth="1"/>
    <col min="9736" max="9736" width="11.140625" style="395" customWidth="1"/>
    <col min="9737" max="9737" width="27.140625" style="395" customWidth="1"/>
    <col min="9738" max="9738" width="13.140625" style="395" bestFit="1" customWidth="1"/>
    <col min="9739" max="9739" width="1.5703125" style="395" bestFit="1" customWidth="1"/>
    <col min="9740" max="9740" width="10.7109375" style="395" customWidth="1"/>
    <col min="9741" max="9741" width="27.28515625" style="395" customWidth="1"/>
    <col min="9742" max="9984" width="11.42578125" style="395"/>
    <col min="9985" max="9985" width="3" style="395" bestFit="1" customWidth="1"/>
    <col min="9986" max="9986" width="13.140625" style="395" bestFit="1" customWidth="1"/>
    <col min="9987" max="9987" width="1.5703125" style="395" bestFit="1" customWidth="1"/>
    <col min="9988" max="9988" width="10.5703125" style="395" customWidth="1"/>
    <col min="9989" max="9989" width="3" style="395" bestFit="1" customWidth="1"/>
    <col min="9990" max="9990" width="13.140625" style="395" bestFit="1" customWidth="1"/>
    <col min="9991" max="9991" width="1.5703125" style="395" bestFit="1" customWidth="1"/>
    <col min="9992" max="9992" width="11.140625" style="395" customWidth="1"/>
    <col min="9993" max="9993" width="27.140625" style="395" customWidth="1"/>
    <col min="9994" max="9994" width="13.140625" style="395" bestFit="1" customWidth="1"/>
    <col min="9995" max="9995" width="1.5703125" style="395" bestFit="1" customWidth="1"/>
    <col min="9996" max="9996" width="10.7109375" style="395" customWidth="1"/>
    <col min="9997" max="9997" width="27.28515625" style="395" customWidth="1"/>
    <col min="9998" max="10240" width="11.42578125" style="395"/>
    <col min="10241" max="10241" width="3" style="395" bestFit="1" customWidth="1"/>
    <col min="10242" max="10242" width="13.140625" style="395" bestFit="1" customWidth="1"/>
    <col min="10243" max="10243" width="1.5703125" style="395" bestFit="1" customWidth="1"/>
    <col min="10244" max="10244" width="10.5703125" style="395" customWidth="1"/>
    <col min="10245" max="10245" width="3" style="395" bestFit="1" customWidth="1"/>
    <col min="10246" max="10246" width="13.140625" style="395" bestFit="1" customWidth="1"/>
    <col min="10247" max="10247" width="1.5703125" style="395" bestFit="1" customWidth="1"/>
    <col min="10248" max="10248" width="11.140625" style="395" customWidth="1"/>
    <col min="10249" max="10249" width="27.140625" style="395" customWidth="1"/>
    <col min="10250" max="10250" width="13.140625" style="395" bestFit="1" customWidth="1"/>
    <col min="10251" max="10251" width="1.5703125" style="395" bestFit="1" customWidth="1"/>
    <col min="10252" max="10252" width="10.7109375" style="395" customWidth="1"/>
    <col min="10253" max="10253" width="27.28515625" style="395" customWidth="1"/>
    <col min="10254" max="10496" width="11.42578125" style="395"/>
    <col min="10497" max="10497" width="3" style="395" bestFit="1" customWidth="1"/>
    <col min="10498" max="10498" width="13.140625" style="395" bestFit="1" customWidth="1"/>
    <col min="10499" max="10499" width="1.5703125" style="395" bestFit="1" customWidth="1"/>
    <col min="10500" max="10500" width="10.5703125" style="395" customWidth="1"/>
    <col min="10501" max="10501" width="3" style="395" bestFit="1" customWidth="1"/>
    <col min="10502" max="10502" width="13.140625" style="395" bestFit="1" customWidth="1"/>
    <col min="10503" max="10503" width="1.5703125" style="395" bestFit="1" customWidth="1"/>
    <col min="10504" max="10504" width="11.140625" style="395" customWidth="1"/>
    <col min="10505" max="10505" width="27.140625" style="395" customWidth="1"/>
    <col min="10506" max="10506" width="13.140625" style="395" bestFit="1" customWidth="1"/>
    <col min="10507" max="10507" width="1.5703125" style="395" bestFit="1" customWidth="1"/>
    <col min="10508" max="10508" width="10.7109375" style="395" customWidth="1"/>
    <col min="10509" max="10509" width="27.28515625" style="395" customWidth="1"/>
    <col min="10510" max="10752" width="11.42578125" style="395"/>
    <col min="10753" max="10753" width="3" style="395" bestFit="1" customWidth="1"/>
    <col min="10754" max="10754" width="13.140625" style="395" bestFit="1" customWidth="1"/>
    <col min="10755" max="10755" width="1.5703125" style="395" bestFit="1" customWidth="1"/>
    <col min="10756" max="10756" width="10.5703125" style="395" customWidth="1"/>
    <col min="10757" max="10757" width="3" style="395" bestFit="1" customWidth="1"/>
    <col min="10758" max="10758" width="13.140625" style="395" bestFit="1" customWidth="1"/>
    <col min="10759" max="10759" width="1.5703125" style="395" bestFit="1" customWidth="1"/>
    <col min="10760" max="10760" width="11.140625" style="395" customWidth="1"/>
    <col min="10761" max="10761" width="27.140625" style="395" customWidth="1"/>
    <col min="10762" max="10762" width="13.140625" style="395" bestFit="1" customWidth="1"/>
    <col min="10763" max="10763" width="1.5703125" style="395" bestFit="1" customWidth="1"/>
    <col min="10764" max="10764" width="10.7109375" style="395" customWidth="1"/>
    <col min="10765" max="10765" width="27.28515625" style="395" customWidth="1"/>
    <col min="10766" max="11008" width="11.42578125" style="395"/>
    <col min="11009" max="11009" width="3" style="395" bestFit="1" customWidth="1"/>
    <col min="11010" max="11010" width="13.140625" style="395" bestFit="1" customWidth="1"/>
    <col min="11011" max="11011" width="1.5703125" style="395" bestFit="1" customWidth="1"/>
    <col min="11012" max="11012" width="10.5703125" style="395" customWidth="1"/>
    <col min="11013" max="11013" width="3" style="395" bestFit="1" customWidth="1"/>
    <col min="11014" max="11014" width="13.140625" style="395" bestFit="1" customWidth="1"/>
    <col min="11015" max="11015" width="1.5703125" style="395" bestFit="1" customWidth="1"/>
    <col min="11016" max="11016" width="11.140625" style="395" customWidth="1"/>
    <col min="11017" max="11017" width="27.140625" style="395" customWidth="1"/>
    <col min="11018" max="11018" width="13.140625" style="395" bestFit="1" customWidth="1"/>
    <col min="11019" max="11019" width="1.5703125" style="395" bestFit="1" customWidth="1"/>
    <col min="11020" max="11020" width="10.7109375" style="395" customWidth="1"/>
    <col min="11021" max="11021" width="27.28515625" style="395" customWidth="1"/>
    <col min="11022" max="11264" width="11.42578125" style="395"/>
    <col min="11265" max="11265" width="3" style="395" bestFit="1" customWidth="1"/>
    <col min="11266" max="11266" width="13.140625" style="395" bestFit="1" customWidth="1"/>
    <col min="11267" max="11267" width="1.5703125" style="395" bestFit="1" customWidth="1"/>
    <col min="11268" max="11268" width="10.5703125" style="395" customWidth="1"/>
    <col min="11269" max="11269" width="3" style="395" bestFit="1" customWidth="1"/>
    <col min="11270" max="11270" width="13.140625" style="395" bestFit="1" customWidth="1"/>
    <col min="11271" max="11271" width="1.5703125" style="395" bestFit="1" customWidth="1"/>
    <col min="11272" max="11272" width="11.140625" style="395" customWidth="1"/>
    <col min="11273" max="11273" width="27.140625" style="395" customWidth="1"/>
    <col min="11274" max="11274" width="13.140625" style="395" bestFit="1" customWidth="1"/>
    <col min="11275" max="11275" width="1.5703125" style="395" bestFit="1" customWidth="1"/>
    <col min="11276" max="11276" width="10.7109375" style="395" customWidth="1"/>
    <col min="11277" max="11277" width="27.28515625" style="395" customWidth="1"/>
    <col min="11278" max="11520" width="11.42578125" style="395"/>
    <col min="11521" max="11521" width="3" style="395" bestFit="1" customWidth="1"/>
    <col min="11522" max="11522" width="13.140625" style="395" bestFit="1" customWidth="1"/>
    <col min="11523" max="11523" width="1.5703125" style="395" bestFit="1" customWidth="1"/>
    <col min="11524" max="11524" width="10.5703125" style="395" customWidth="1"/>
    <col min="11525" max="11525" width="3" style="395" bestFit="1" customWidth="1"/>
    <col min="11526" max="11526" width="13.140625" style="395" bestFit="1" customWidth="1"/>
    <col min="11527" max="11527" width="1.5703125" style="395" bestFit="1" customWidth="1"/>
    <col min="11528" max="11528" width="11.140625" style="395" customWidth="1"/>
    <col min="11529" max="11529" width="27.140625" style="395" customWidth="1"/>
    <col min="11530" max="11530" width="13.140625" style="395" bestFit="1" customWidth="1"/>
    <col min="11531" max="11531" width="1.5703125" style="395" bestFit="1" customWidth="1"/>
    <col min="11532" max="11532" width="10.7109375" style="395" customWidth="1"/>
    <col min="11533" max="11533" width="27.28515625" style="395" customWidth="1"/>
    <col min="11534" max="11776" width="11.42578125" style="395"/>
    <col min="11777" max="11777" width="3" style="395" bestFit="1" customWidth="1"/>
    <col min="11778" max="11778" width="13.140625" style="395" bestFit="1" customWidth="1"/>
    <col min="11779" max="11779" width="1.5703125" style="395" bestFit="1" customWidth="1"/>
    <col min="11780" max="11780" width="10.5703125" style="395" customWidth="1"/>
    <col min="11781" max="11781" width="3" style="395" bestFit="1" customWidth="1"/>
    <col min="11782" max="11782" width="13.140625" style="395" bestFit="1" customWidth="1"/>
    <col min="11783" max="11783" width="1.5703125" style="395" bestFit="1" customWidth="1"/>
    <col min="11784" max="11784" width="11.140625" style="395" customWidth="1"/>
    <col min="11785" max="11785" width="27.140625" style="395" customWidth="1"/>
    <col min="11786" max="11786" width="13.140625" style="395" bestFit="1" customWidth="1"/>
    <col min="11787" max="11787" width="1.5703125" style="395" bestFit="1" customWidth="1"/>
    <col min="11788" max="11788" width="10.7109375" style="395" customWidth="1"/>
    <col min="11789" max="11789" width="27.28515625" style="395" customWidth="1"/>
    <col min="11790" max="12032" width="11.42578125" style="395"/>
    <col min="12033" max="12033" width="3" style="395" bestFit="1" customWidth="1"/>
    <col min="12034" max="12034" width="13.140625" style="395" bestFit="1" customWidth="1"/>
    <col min="12035" max="12035" width="1.5703125" style="395" bestFit="1" customWidth="1"/>
    <col min="12036" max="12036" width="10.5703125" style="395" customWidth="1"/>
    <col min="12037" max="12037" width="3" style="395" bestFit="1" customWidth="1"/>
    <col min="12038" max="12038" width="13.140625" style="395" bestFit="1" customWidth="1"/>
    <col min="12039" max="12039" width="1.5703125" style="395" bestFit="1" customWidth="1"/>
    <col min="12040" max="12040" width="11.140625" style="395" customWidth="1"/>
    <col min="12041" max="12041" width="27.140625" style="395" customWidth="1"/>
    <col min="12042" max="12042" width="13.140625" style="395" bestFit="1" customWidth="1"/>
    <col min="12043" max="12043" width="1.5703125" style="395" bestFit="1" customWidth="1"/>
    <col min="12044" max="12044" width="10.7109375" style="395" customWidth="1"/>
    <col min="12045" max="12045" width="27.28515625" style="395" customWidth="1"/>
    <col min="12046" max="12288" width="11.42578125" style="395"/>
    <col min="12289" max="12289" width="3" style="395" bestFit="1" customWidth="1"/>
    <col min="12290" max="12290" width="13.140625" style="395" bestFit="1" customWidth="1"/>
    <col min="12291" max="12291" width="1.5703125" style="395" bestFit="1" customWidth="1"/>
    <col min="12292" max="12292" width="10.5703125" style="395" customWidth="1"/>
    <col min="12293" max="12293" width="3" style="395" bestFit="1" customWidth="1"/>
    <col min="12294" max="12294" width="13.140625" style="395" bestFit="1" customWidth="1"/>
    <col min="12295" max="12295" width="1.5703125" style="395" bestFit="1" customWidth="1"/>
    <col min="12296" max="12296" width="11.140625" style="395" customWidth="1"/>
    <col min="12297" max="12297" width="27.140625" style="395" customWidth="1"/>
    <col min="12298" max="12298" width="13.140625" style="395" bestFit="1" customWidth="1"/>
    <col min="12299" max="12299" width="1.5703125" style="395" bestFit="1" customWidth="1"/>
    <col min="12300" max="12300" width="10.7109375" style="395" customWidth="1"/>
    <col min="12301" max="12301" width="27.28515625" style="395" customWidth="1"/>
    <col min="12302" max="12544" width="11.42578125" style="395"/>
    <col min="12545" max="12545" width="3" style="395" bestFit="1" customWidth="1"/>
    <col min="12546" max="12546" width="13.140625" style="395" bestFit="1" customWidth="1"/>
    <col min="12547" max="12547" width="1.5703125" style="395" bestFit="1" customWidth="1"/>
    <col min="12548" max="12548" width="10.5703125" style="395" customWidth="1"/>
    <col min="12549" max="12549" width="3" style="395" bestFit="1" customWidth="1"/>
    <col min="12550" max="12550" width="13.140625" style="395" bestFit="1" customWidth="1"/>
    <col min="12551" max="12551" width="1.5703125" style="395" bestFit="1" customWidth="1"/>
    <col min="12552" max="12552" width="11.140625" style="395" customWidth="1"/>
    <col min="12553" max="12553" width="27.140625" style="395" customWidth="1"/>
    <col min="12554" max="12554" width="13.140625" style="395" bestFit="1" customWidth="1"/>
    <col min="12555" max="12555" width="1.5703125" style="395" bestFit="1" customWidth="1"/>
    <col min="12556" max="12556" width="10.7109375" style="395" customWidth="1"/>
    <col min="12557" max="12557" width="27.28515625" style="395" customWidth="1"/>
    <col min="12558" max="12800" width="11.42578125" style="395"/>
    <col min="12801" max="12801" width="3" style="395" bestFit="1" customWidth="1"/>
    <col min="12802" max="12802" width="13.140625" style="395" bestFit="1" customWidth="1"/>
    <col min="12803" max="12803" width="1.5703125" style="395" bestFit="1" customWidth="1"/>
    <col min="12804" max="12804" width="10.5703125" style="395" customWidth="1"/>
    <col min="12805" max="12805" width="3" style="395" bestFit="1" customWidth="1"/>
    <col min="12806" max="12806" width="13.140625" style="395" bestFit="1" customWidth="1"/>
    <col min="12807" max="12807" width="1.5703125" style="395" bestFit="1" customWidth="1"/>
    <col min="12808" max="12808" width="11.140625" style="395" customWidth="1"/>
    <col min="12809" max="12809" width="27.140625" style="395" customWidth="1"/>
    <col min="12810" max="12810" width="13.140625" style="395" bestFit="1" customWidth="1"/>
    <col min="12811" max="12811" width="1.5703125" style="395" bestFit="1" customWidth="1"/>
    <col min="12812" max="12812" width="10.7109375" style="395" customWidth="1"/>
    <col min="12813" max="12813" width="27.28515625" style="395" customWidth="1"/>
    <col min="12814" max="13056" width="11.42578125" style="395"/>
    <col min="13057" max="13057" width="3" style="395" bestFit="1" customWidth="1"/>
    <col min="13058" max="13058" width="13.140625" style="395" bestFit="1" customWidth="1"/>
    <col min="13059" max="13059" width="1.5703125" style="395" bestFit="1" customWidth="1"/>
    <col min="13060" max="13060" width="10.5703125" style="395" customWidth="1"/>
    <col min="13061" max="13061" width="3" style="395" bestFit="1" customWidth="1"/>
    <col min="13062" max="13062" width="13.140625" style="395" bestFit="1" customWidth="1"/>
    <col min="13063" max="13063" width="1.5703125" style="395" bestFit="1" customWidth="1"/>
    <col min="13064" max="13064" width="11.140625" style="395" customWidth="1"/>
    <col min="13065" max="13065" width="27.140625" style="395" customWidth="1"/>
    <col min="13066" max="13066" width="13.140625" style="395" bestFit="1" customWidth="1"/>
    <col min="13067" max="13067" width="1.5703125" style="395" bestFit="1" customWidth="1"/>
    <col min="13068" max="13068" width="10.7109375" style="395" customWidth="1"/>
    <col min="13069" max="13069" width="27.28515625" style="395" customWidth="1"/>
    <col min="13070" max="13312" width="11.42578125" style="395"/>
    <col min="13313" max="13313" width="3" style="395" bestFit="1" customWidth="1"/>
    <col min="13314" max="13314" width="13.140625" style="395" bestFit="1" customWidth="1"/>
    <col min="13315" max="13315" width="1.5703125" style="395" bestFit="1" customWidth="1"/>
    <col min="13316" max="13316" width="10.5703125" style="395" customWidth="1"/>
    <col min="13317" max="13317" width="3" style="395" bestFit="1" customWidth="1"/>
    <col min="13318" max="13318" width="13.140625" style="395" bestFit="1" customWidth="1"/>
    <col min="13319" max="13319" width="1.5703125" style="395" bestFit="1" customWidth="1"/>
    <col min="13320" max="13320" width="11.140625" style="395" customWidth="1"/>
    <col min="13321" max="13321" width="27.140625" style="395" customWidth="1"/>
    <col min="13322" max="13322" width="13.140625" style="395" bestFit="1" customWidth="1"/>
    <col min="13323" max="13323" width="1.5703125" style="395" bestFit="1" customWidth="1"/>
    <col min="13324" max="13324" width="10.7109375" style="395" customWidth="1"/>
    <col min="13325" max="13325" width="27.28515625" style="395" customWidth="1"/>
    <col min="13326" max="13568" width="11.42578125" style="395"/>
    <col min="13569" max="13569" width="3" style="395" bestFit="1" customWidth="1"/>
    <col min="13570" max="13570" width="13.140625" style="395" bestFit="1" customWidth="1"/>
    <col min="13571" max="13571" width="1.5703125" style="395" bestFit="1" customWidth="1"/>
    <col min="13572" max="13572" width="10.5703125" style="395" customWidth="1"/>
    <col min="13573" max="13573" width="3" style="395" bestFit="1" customWidth="1"/>
    <col min="13574" max="13574" width="13.140625" style="395" bestFit="1" customWidth="1"/>
    <col min="13575" max="13575" width="1.5703125" style="395" bestFit="1" customWidth="1"/>
    <col min="13576" max="13576" width="11.140625" style="395" customWidth="1"/>
    <col min="13577" max="13577" width="27.140625" style="395" customWidth="1"/>
    <col min="13578" max="13578" width="13.140625" style="395" bestFit="1" customWidth="1"/>
    <col min="13579" max="13579" width="1.5703125" style="395" bestFit="1" customWidth="1"/>
    <col min="13580" max="13580" width="10.7109375" style="395" customWidth="1"/>
    <col min="13581" max="13581" width="27.28515625" style="395" customWidth="1"/>
    <col min="13582" max="13824" width="11.42578125" style="395"/>
    <col min="13825" max="13825" width="3" style="395" bestFit="1" customWidth="1"/>
    <col min="13826" max="13826" width="13.140625" style="395" bestFit="1" customWidth="1"/>
    <col min="13827" max="13827" width="1.5703125" style="395" bestFit="1" customWidth="1"/>
    <col min="13828" max="13828" width="10.5703125" style="395" customWidth="1"/>
    <col min="13829" max="13829" width="3" style="395" bestFit="1" customWidth="1"/>
    <col min="13830" max="13830" width="13.140625" style="395" bestFit="1" customWidth="1"/>
    <col min="13831" max="13831" width="1.5703125" style="395" bestFit="1" customWidth="1"/>
    <col min="13832" max="13832" width="11.140625" style="395" customWidth="1"/>
    <col min="13833" max="13833" width="27.140625" style="395" customWidth="1"/>
    <col min="13834" max="13834" width="13.140625" style="395" bestFit="1" customWidth="1"/>
    <col min="13835" max="13835" width="1.5703125" style="395" bestFit="1" customWidth="1"/>
    <col min="13836" max="13836" width="10.7109375" style="395" customWidth="1"/>
    <col min="13837" max="13837" width="27.28515625" style="395" customWidth="1"/>
    <col min="13838" max="14080" width="11.42578125" style="395"/>
    <col min="14081" max="14081" width="3" style="395" bestFit="1" customWidth="1"/>
    <col min="14082" max="14082" width="13.140625" style="395" bestFit="1" customWidth="1"/>
    <col min="14083" max="14083" width="1.5703125" style="395" bestFit="1" customWidth="1"/>
    <col min="14084" max="14084" width="10.5703125" style="395" customWidth="1"/>
    <col min="14085" max="14085" width="3" style="395" bestFit="1" customWidth="1"/>
    <col min="14086" max="14086" width="13.140625" style="395" bestFit="1" customWidth="1"/>
    <col min="14087" max="14087" width="1.5703125" style="395" bestFit="1" customWidth="1"/>
    <col min="14088" max="14088" width="11.140625" style="395" customWidth="1"/>
    <col min="14089" max="14089" width="27.140625" style="395" customWidth="1"/>
    <col min="14090" max="14090" width="13.140625" style="395" bestFit="1" customWidth="1"/>
    <col min="14091" max="14091" width="1.5703125" style="395" bestFit="1" customWidth="1"/>
    <col min="14092" max="14092" width="10.7109375" style="395" customWidth="1"/>
    <col min="14093" max="14093" width="27.28515625" style="395" customWidth="1"/>
    <col min="14094" max="14336" width="11.42578125" style="395"/>
    <col min="14337" max="14337" width="3" style="395" bestFit="1" customWidth="1"/>
    <col min="14338" max="14338" width="13.140625" style="395" bestFit="1" customWidth="1"/>
    <col min="14339" max="14339" width="1.5703125" style="395" bestFit="1" customWidth="1"/>
    <col min="14340" max="14340" width="10.5703125" style="395" customWidth="1"/>
    <col min="14341" max="14341" width="3" style="395" bestFit="1" customWidth="1"/>
    <col min="14342" max="14342" width="13.140625" style="395" bestFit="1" customWidth="1"/>
    <col min="14343" max="14343" width="1.5703125" style="395" bestFit="1" customWidth="1"/>
    <col min="14344" max="14344" width="11.140625" style="395" customWidth="1"/>
    <col min="14345" max="14345" width="27.140625" style="395" customWidth="1"/>
    <col min="14346" max="14346" width="13.140625" style="395" bestFit="1" customWidth="1"/>
    <col min="14347" max="14347" width="1.5703125" style="395" bestFit="1" customWidth="1"/>
    <col min="14348" max="14348" width="10.7109375" style="395" customWidth="1"/>
    <col min="14349" max="14349" width="27.28515625" style="395" customWidth="1"/>
    <col min="14350" max="14592" width="11.42578125" style="395"/>
    <col min="14593" max="14593" width="3" style="395" bestFit="1" customWidth="1"/>
    <col min="14594" max="14594" width="13.140625" style="395" bestFit="1" customWidth="1"/>
    <col min="14595" max="14595" width="1.5703125" style="395" bestFit="1" customWidth="1"/>
    <col min="14596" max="14596" width="10.5703125" style="395" customWidth="1"/>
    <col min="14597" max="14597" width="3" style="395" bestFit="1" customWidth="1"/>
    <col min="14598" max="14598" width="13.140625" style="395" bestFit="1" customWidth="1"/>
    <col min="14599" max="14599" width="1.5703125" style="395" bestFit="1" customWidth="1"/>
    <col min="14600" max="14600" width="11.140625" style="395" customWidth="1"/>
    <col min="14601" max="14601" width="27.140625" style="395" customWidth="1"/>
    <col min="14602" max="14602" width="13.140625" style="395" bestFit="1" customWidth="1"/>
    <col min="14603" max="14603" width="1.5703125" style="395" bestFit="1" customWidth="1"/>
    <col min="14604" max="14604" width="10.7109375" style="395" customWidth="1"/>
    <col min="14605" max="14605" width="27.28515625" style="395" customWidth="1"/>
    <col min="14606" max="14848" width="11.42578125" style="395"/>
    <col min="14849" max="14849" width="3" style="395" bestFit="1" customWidth="1"/>
    <col min="14850" max="14850" width="13.140625" style="395" bestFit="1" customWidth="1"/>
    <col min="14851" max="14851" width="1.5703125" style="395" bestFit="1" customWidth="1"/>
    <col min="14852" max="14852" width="10.5703125" style="395" customWidth="1"/>
    <col min="14853" max="14853" width="3" style="395" bestFit="1" customWidth="1"/>
    <col min="14854" max="14854" width="13.140625" style="395" bestFit="1" customWidth="1"/>
    <col min="14855" max="14855" width="1.5703125" style="395" bestFit="1" customWidth="1"/>
    <col min="14856" max="14856" width="11.140625" style="395" customWidth="1"/>
    <col min="14857" max="14857" width="27.140625" style="395" customWidth="1"/>
    <col min="14858" max="14858" width="13.140625" style="395" bestFit="1" customWidth="1"/>
    <col min="14859" max="14859" width="1.5703125" style="395" bestFit="1" customWidth="1"/>
    <col min="14860" max="14860" width="10.7109375" style="395" customWidth="1"/>
    <col min="14861" max="14861" width="27.28515625" style="395" customWidth="1"/>
    <col min="14862" max="15104" width="11.42578125" style="395"/>
    <col min="15105" max="15105" width="3" style="395" bestFit="1" customWidth="1"/>
    <col min="15106" max="15106" width="13.140625" style="395" bestFit="1" customWidth="1"/>
    <col min="15107" max="15107" width="1.5703125" style="395" bestFit="1" customWidth="1"/>
    <col min="15108" max="15108" width="10.5703125" style="395" customWidth="1"/>
    <col min="15109" max="15109" width="3" style="395" bestFit="1" customWidth="1"/>
    <col min="15110" max="15110" width="13.140625" style="395" bestFit="1" customWidth="1"/>
    <col min="15111" max="15111" width="1.5703125" style="395" bestFit="1" customWidth="1"/>
    <col min="15112" max="15112" width="11.140625" style="395" customWidth="1"/>
    <col min="15113" max="15113" width="27.140625" style="395" customWidth="1"/>
    <col min="15114" max="15114" width="13.140625" style="395" bestFit="1" customWidth="1"/>
    <col min="15115" max="15115" width="1.5703125" style="395" bestFit="1" customWidth="1"/>
    <col min="15116" max="15116" width="10.7109375" style="395" customWidth="1"/>
    <col min="15117" max="15117" width="27.28515625" style="395" customWidth="1"/>
    <col min="15118" max="15360" width="11.42578125" style="395"/>
    <col min="15361" max="15361" width="3" style="395" bestFit="1" customWidth="1"/>
    <col min="15362" max="15362" width="13.140625" style="395" bestFit="1" customWidth="1"/>
    <col min="15363" max="15363" width="1.5703125" style="395" bestFit="1" customWidth="1"/>
    <col min="15364" max="15364" width="10.5703125" style="395" customWidth="1"/>
    <col min="15365" max="15365" width="3" style="395" bestFit="1" customWidth="1"/>
    <col min="15366" max="15366" width="13.140625" style="395" bestFit="1" customWidth="1"/>
    <col min="15367" max="15367" width="1.5703125" style="395" bestFit="1" customWidth="1"/>
    <col min="15368" max="15368" width="11.140625" style="395" customWidth="1"/>
    <col min="15369" max="15369" width="27.140625" style="395" customWidth="1"/>
    <col min="15370" max="15370" width="13.140625" style="395" bestFit="1" customWidth="1"/>
    <col min="15371" max="15371" width="1.5703125" style="395" bestFit="1" customWidth="1"/>
    <col min="15372" max="15372" width="10.7109375" style="395" customWidth="1"/>
    <col min="15373" max="15373" width="27.28515625" style="395" customWidth="1"/>
    <col min="15374" max="15616" width="11.42578125" style="395"/>
    <col min="15617" max="15617" width="3" style="395" bestFit="1" customWidth="1"/>
    <col min="15618" max="15618" width="13.140625" style="395" bestFit="1" customWidth="1"/>
    <col min="15619" max="15619" width="1.5703125" style="395" bestFit="1" customWidth="1"/>
    <col min="15620" max="15620" width="10.5703125" style="395" customWidth="1"/>
    <col min="15621" max="15621" width="3" style="395" bestFit="1" customWidth="1"/>
    <col min="15622" max="15622" width="13.140625" style="395" bestFit="1" customWidth="1"/>
    <col min="15623" max="15623" width="1.5703125" style="395" bestFit="1" customWidth="1"/>
    <col min="15624" max="15624" width="11.140625" style="395" customWidth="1"/>
    <col min="15625" max="15625" width="27.140625" style="395" customWidth="1"/>
    <col min="15626" max="15626" width="13.140625" style="395" bestFit="1" customWidth="1"/>
    <col min="15627" max="15627" width="1.5703125" style="395" bestFit="1" customWidth="1"/>
    <col min="15628" max="15628" width="10.7109375" style="395" customWidth="1"/>
    <col min="15629" max="15629" width="27.28515625" style="395" customWidth="1"/>
    <col min="15630" max="15872" width="11.42578125" style="395"/>
    <col min="15873" max="15873" width="3" style="395" bestFit="1" customWidth="1"/>
    <col min="15874" max="15874" width="13.140625" style="395" bestFit="1" customWidth="1"/>
    <col min="15875" max="15875" width="1.5703125" style="395" bestFit="1" customWidth="1"/>
    <col min="15876" max="15876" width="10.5703125" style="395" customWidth="1"/>
    <col min="15877" max="15877" width="3" style="395" bestFit="1" customWidth="1"/>
    <col min="15878" max="15878" width="13.140625" style="395" bestFit="1" customWidth="1"/>
    <col min="15879" max="15879" width="1.5703125" style="395" bestFit="1" customWidth="1"/>
    <col min="15880" max="15880" width="11.140625" style="395" customWidth="1"/>
    <col min="15881" max="15881" width="27.140625" style="395" customWidth="1"/>
    <col min="15882" max="15882" width="13.140625" style="395" bestFit="1" customWidth="1"/>
    <col min="15883" max="15883" width="1.5703125" style="395" bestFit="1" customWidth="1"/>
    <col min="15884" max="15884" width="10.7109375" style="395" customWidth="1"/>
    <col min="15885" max="15885" width="27.28515625" style="395" customWidth="1"/>
    <col min="15886" max="16128" width="11.42578125" style="395"/>
    <col min="16129" max="16129" width="3" style="395" bestFit="1" customWidth="1"/>
    <col min="16130" max="16130" width="13.140625" style="395" bestFit="1" customWidth="1"/>
    <col min="16131" max="16131" width="1.5703125" style="395" bestFit="1" customWidth="1"/>
    <col min="16132" max="16132" width="10.5703125" style="395" customWidth="1"/>
    <col min="16133" max="16133" width="3" style="395" bestFit="1" customWidth="1"/>
    <col min="16134" max="16134" width="13.140625" style="395" bestFit="1" customWidth="1"/>
    <col min="16135" max="16135" width="1.5703125" style="395" bestFit="1" customWidth="1"/>
    <col min="16136" max="16136" width="11.140625" style="395" customWidth="1"/>
    <col min="16137" max="16137" width="27.140625" style="395" customWidth="1"/>
    <col min="16138" max="16138" width="13.140625" style="395" bestFit="1" customWidth="1"/>
    <col min="16139" max="16139" width="1.5703125" style="395" bestFit="1" customWidth="1"/>
    <col min="16140" max="16140" width="10.7109375" style="395" customWidth="1"/>
    <col min="16141" max="16141" width="27.28515625" style="395" customWidth="1"/>
    <col min="16142" max="16384" width="11.42578125" style="395"/>
  </cols>
  <sheetData>
    <row r="1" spans="1:12" ht="18.75" x14ac:dyDescent="0.3">
      <c r="I1" s="800" t="s">
        <v>50</v>
      </c>
    </row>
    <row r="2" spans="1:12" ht="18" x14ac:dyDescent="0.25">
      <c r="A2" s="936" t="s">
        <v>101</v>
      </c>
      <c r="B2" s="936"/>
      <c r="C2" s="936"/>
      <c r="D2" s="936"/>
      <c r="E2" s="936"/>
      <c r="F2" s="936"/>
      <c r="G2" s="936"/>
      <c r="H2" s="936"/>
      <c r="I2" s="936"/>
    </row>
    <row r="3" spans="1:12" ht="13.5" thickBot="1" x14ac:dyDescent="0.25">
      <c r="E3" s="396"/>
      <c r="F3" s="145" t="s">
        <v>14</v>
      </c>
      <c r="G3" s="396"/>
      <c r="H3" s="397"/>
      <c r="I3" s="396"/>
      <c r="L3" s="397"/>
    </row>
    <row r="4" spans="1:12" ht="13.5" thickBot="1" x14ac:dyDescent="0.25">
      <c r="A4" s="398" t="s">
        <v>102</v>
      </c>
      <c r="B4" s="937" t="s">
        <v>103</v>
      </c>
      <c r="C4" s="937"/>
      <c r="D4" s="938"/>
      <c r="E4" s="398" t="s">
        <v>102</v>
      </c>
      <c r="F4" s="939" t="s">
        <v>104</v>
      </c>
      <c r="G4" s="940"/>
      <c r="H4" s="941"/>
      <c r="I4" s="399" t="s">
        <v>105</v>
      </c>
    </row>
    <row r="5" spans="1:12" x14ac:dyDescent="0.2">
      <c r="A5" s="493"/>
      <c r="B5" s="494"/>
      <c r="C5" s="495"/>
      <c r="D5" s="496"/>
      <c r="E5" s="497"/>
      <c r="F5" s="498"/>
      <c r="G5" s="498"/>
      <c r="H5" s="499"/>
      <c r="I5" s="500"/>
    </row>
    <row r="6" spans="1:12" x14ac:dyDescent="0.2">
      <c r="A6" s="501">
        <v>1</v>
      </c>
      <c r="B6" s="502">
        <f>6175-259.45+29.65*A6</f>
        <v>5945.2</v>
      </c>
      <c r="C6" s="502" t="s">
        <v>106</v>
      </c>
      <c r="D6" s="503">
        <f>6175-7.41+29.65*A6</f>
        <v>6197.24</v>
      </c>
      <c r="E6" s="504"/>
      <c r="F6" s="505"/>
      <c r="G6" s="505"/>
      <c r="H6" s="506"/>
      <c r="I6" s="507"/>
    </row>
    <row r="7" spans="1:12" x14ac:dyDescent="0.2">
      <c r="A7" s="501"/>
      <c r="B7" s="502"/>
      <c r="C7" s="502"/>
      <c r="D7" s="503"/>
      <c r="E7" s="504">
        <v>1</v>
      </c>
      <c r="F7" s="502">
        <f>6175-244.625+29.65*E7</f>
        <v>5960.0249999999996</v>
      </c>
      <c r="G7" s="502" t="s">
        <v>106</v>
      </c>
      <c r="H7" s="508">
        <f>6175+7.415+29.65*E7</f>
        <v>6212.0649999999996</v>
      </c>
      <c r="I7" s="507"/>
    </row>
    <row r="8" spans="1:12" x14ac:dyDescent="0.2">
      <c r="A8" s="501">
        <v>2</v>
      </c>
      <c r="B8" s="502">
        <f t="shared" ref="B8:B20" si="0">6175-259.45+29.65*A8</f>
        <v>5974.85</v>
      </c>
      <c r="C8" s="502" t="s">
        <v>106</v>
      </c>
      <c r="D8" s="503">
        <f t="shared" ref="D8:D18" si="1">6175-7.41+29.65*A8</f>
        <v>6226.89</v>
      </c>
      <c r="E8" s="504"/>
      <c r="F8" s="502"/>
      <c r="G8" s="502"/>
      <c r="H8" s="508"/>
      <c r="I8" s="507"/>
    </row>
    <row r="9" spans="1:12" x14ac:dyDescent="0.2">
      <c r="A9" s="501"/>
      <c r="B9" s="502"/>
      <c r="C9" s="502"/>
      <c r="D9" s="503"/>
      <c r="E9" s="504">
        <v>2</v>
      </c>
      <c r="F9" s="502">
        <f t="shared" ref="F9:F19" si="2">6175-244.625+29.65*E9</f>
        <v>5989.6750000000002</v>
      </c>
      <c r="G9" s="502" t="s">
        <v>106</v>
      </c>
      <c r="H9" s="508">
        <f t="shared" ref="H9:H19" si="3">6175+7.415+29.65*E9</f>
        <v>6241.7150000000001</v>
      </c>
      <c r="I9" s="507"/>
    </row>
    <row r="10" spans="1:12" x14ac:dyDescent="0.2">
      <c r="A10" s="501">
        <v>3</v>
      </c>
      <c r="B10" s="502">
        <f t="shared" si="0"/>
        <v>6004.5</v>
      </c>
      <c r="C10" s="502" t="s">
        <v>106</v>
      </c>
      <c r="D10" s="503">
        <f t="shared" si="1"/>
        <v>6256.54</v>
      </c>
      <c r="E10" s="504"/>
      <c r="F10" s="502"/>
      <c r="G10" s="502"/>
      <c r="H10" s="508"/>
      <c r="I10" s="507"/>
    </row>
    <row r="11" spans="1:12" x14ac:dyDescent="0.2">
      <c r="A11" s="501"/>
      <c r="B11" s="502"/>
      <c r="C11" s="502"/>
      <c r="D11" s="503"/>
      <c r="E11" s="504">
        <v>3</v>
      </c>
      <c r="F11" s="502">
        <f t="shared" si="2"/>
        <v>6019.3249999999998</v>
      </c>
      <c r="G11" s="502" t="s">
        <v>106</v>
      </c>
      <c r="H11" s="508">
        <f t="shared" si="3"/>
        <v>6271.3649999999998</v>
      </c>
      <c r="I11" s="507"/>
    </row>
    <row r="12" spans="1:12" x14ac:dyDescent="0.2">
      <c r="A12" s="501">
        <v>4</v>
      </c>
      <c r="B12" s="502">
        <f t="shared" si="0"/>
        <v>6034.1500000000005</v>
      </c>
      <c r="C12" s="502" t="s">
        <v>106</v>
      </c>
      <c r="D12" s="503">
        <f t="shared" si="1"/>
        <v>6286.1900000000005</v>
      </c>
      <c r="E12" s="504"/>
      <c r="F12" s="502"/>
      <c r="G12" s="502"/>
      <c r="H12" s="508"/>
      <c r="I12" s="507"/>
    </row>
    <row r="13" spans="1:12" x14ac:dyDescent="0.2">
      <c r="A13" s="501"/>
      <c r="B13" s="502"/>
      <c r="C13" s="502"/>
      <c r="D13" s="503"/>
      <c r="E13" s="504">
        <v>4</v>
      </c>
      <c r="F13" s="502">
        <f t="shared" si="2"/>
        <v>6048.9750000000004</v>
      </c>
      <c r="G13" s="502" t="s">
        <v>106</v>
      </c>
      <c r="H13" s="508">
        <f t="shared" si="3"/>
        <v>6301.0150000000003</v>
      </c>
      <c r="I13" s="507"/>
    </row>
    <row r="14" spans="1:12" x14ac:dyDescent="0.2">
      <c r="A14" s="501">
        <v>5</v>
      </c>
      <c r="B14" s="502">
        <f t="shared" si="0"/>
        <v>6063.8</v>
      </c>
      <c r="C14" s="502" t="s">
        <v>106</v>
      </c>
      <c r="D14" s="503">
        <f t="shared" si="1"/>
        <v>6315.84</v>
      </c>
      <c r="E14" s="504"/>
      <c r="F14" s="502"/>
      <c r="G14" s="502"/>
      <c r="H14" s="508"/>
      <c r="I14" s="509"/>
    </row>
    <row r="15" spans="1:12" x14ac:dyDescent="0.2">
      <c r="A15" s="501"/>
      <c r="B15" s="502"/>
      <c r="C15" s="502"/>
      <c r="D15" s="503"/>
      <c r="E15" s="504">
        <v>5</v>
      </c>
      <c r="F15" s="502">
        <f t="shared" si="2"/>
        <v>6078.625</v>
      </c>
      <c r="G15" s="502" t="s">
        <v>106</v>
      </c>
      <c r="H15" s="508">
        <f t="shared" si="3"/>
        <v>6330.665</v>
      </c>
      <c r="I15" s="507"/>
    </row>
    <row r="16" spans="1:12" x14ac:dyDescent="0.2">
      <c r="A16" s="501">
        <v>6</v>
      </c>
      <c r="B16" s="502">
        <f t="shared" si="0"/>
        <v>6093.45</v>
      </c>
      <c r="C16" s="502" t="s">
        <v>106</v>
      </c>
      <c r="D16" s="503">
        <f t="shared" si="1"/>
        <v>6345.49</v>
      </c>
      <c r="E16" s="504"/>
      <c r="F16" s="502"/>
      <c r="G16" s="502"/>
      <c r="H16" s="508"/>
      <c r="I16" s="507"/>
    </row>
    <row r="17" spans="1:9" x14ac:dyDescent="0.2">
      <c r="A17" s="501"/>
      <c r="B17" s="502"/>
      <c r="C17" s="502"/>
      <c r="D17" s="503"/>
      <c r="E17" s="504">
        <v>6</v>
      </c>
      <c r="F17" s="502">
        <f t="shared" si="2"/>
        <v>6108.2749999999996</v>
      </c>
      <c r="G17" s="502" t="s">
        <v>106</v>
      </c>
      <c r="H17" s="508">
        <f t="shared" si="3"/>
        <v>6360.3149999999996</v>
      </c>
      <c r="I17" s="507"/>
    </row>
    <row r="18" spans="1:9" x14ac:dyDescent="0.2">
      <c r="A18" s="501">
        <v>7</v>
      </c>
      <c r="B18" s="502">
        <f t="shared" si="0"/>
        <v>6123.1</v>
      </c>
      <c r="C18" s="502" t="s">
        <v>106</v>
      </c>
      <c r="D18" s="503">
        <f t="shared" si="1"/>
        <v>6375.14</v>
      </c>
      <c r="E18" s="504"/>
      <c r="F18" s="502"/>
      <c r="G18" s="502"/>
      <c r="H18" s="508"/>
      <c r="I18" s="509"/>
    </row>
    <row r="19" spans="1:9" x14ac:dyDescent="0.2">
      <c r="A19" s="501"/>
      <c r="B19" s="502"/>
      <c r="C19" s="502"/>
      <c r="D19" s="503"/>
      <c r="E19" s="504">
        <v>7</v>
      </c>
      <c r="F19" s="502">
        <f t="shared" si="2"/>
        <v>6137.9250000000002</v>
      </c>
      <c r="G19" s="502" t="s">
        <v>106</v>
      </c>
      <c r="H19" s="508">
        <f t="shared" si="3"/>
        <v>6389.9650000000001</v>
      </c>
      <c r="I19" s="509"/>
    </row>
    <row r="20" spans="1:9" x14ac:dyDescent="0.2">
      <c r="A20" s="510">
        <v>8</v>
      </c>
      <c r="B20" s="505">
        <f t="shared" si="0"/>
        <v>6152.75</v>
      </c>
      <c r="C20" s="505" t="s">
        <v>106</v>
      </c>
      <c r="D20" s="511">
        <f>6175-7.41+29.65*A20</f>
        <v>6404.79</v>
      </c>
      <c r="E20" s="504"/>
      <c r="F20" s="505"/>
      <c r="G20" s="505"/>
      <c r="H20" s="506"/>
      <c r="I20" s="512"/>
    </row>
    <row r="21" spans="1:9" ht="13.5" thickBot="1" x14ac:dyDescent="0.25">
      <c r="A21" s="513"/>
      <c r="B21" s="514"/>
      <c r="C21" s="514"/>
      <c r="D21" s="515"/>
      <c r="E21" s="516"/>
      <c r="F21" s="514"/>
      <c r="G21" s="514"/>
      <c r="H21" s="517"/>
      <c r="I21" s="518"/>
    </row>
    <row r="22" spans="1:9" x14ac:dyDescent="0.2">
      <c r="A22" s="400"/>
      <c r="B22" s="400"/>
      <c r="C22" s="400"/>
      <c r="D22" s="401"/>
      <c r="E22" s="402"/>
      <c r="F22" s="400"/>
      <c r="G22" s="400"/>
      <c r="H22" s="403"/>
      <c r="I22" s="400"/>
    </row>
  </sheetData>
  <mergeCells count="3">
    <mergeCell ref="A2:I2"/>
    <mergeCell ref="B4:D4"/>
    <mergeCell ref="F4:H4"/>
  </mergeCells>
  <hyperlinks>
    <hyperlink ref="F3" r:id="rId1" xr:uid="{EF8C6B63-21B6-48C8-A27D-688981B55983}"/>
    <hyperlink ref="I1" location="'Oversikt'!A1" display="Oversikt" xr:uid="{EC47E81D-72A6-4244-956C-E5636394F62B}"/>
  </hyperlinks>
  <pageMargins left="0.78740157499999996" right="0.78740157499999996" top="0.984251969" bottom="0.984251969" header="0.5" footer="0.5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0E73-B551-4A63-AD93-1E05DC63E16C}">
  <sheetPr codeName="Ark6">
    <tabColor theme="7" tint="0.59999389629810485"/>
  </sheetPr>
  <dimension ref="A1:AH93"/>
  <sheetViews>
    <sheetView zoomScale="80" zoomScaleNormal="80" workbookViewId="0">
      <selection activeCell="AK38" sqref="AK38"/>
    </sheetView>
  </sheetViews>
  <sheetFormatPr baseColWidth="10" defaultColWidth="11.42578125" defaultRowHeight="15" x14ac:dyDescent="0.25"/>
  <cols>
    <col min="1" max="33" width="8.7109375" customWidth="1"/>
    <col min="34" max="34" width="24.28515625" bestFit="1" customWidth="1"/>
  </cols>
  <sheetData>
    <row r="1" spans="1:34" ht="18.75" x14ac:dyDescent="0.3">
      <c r="A1" s="942" t="s">
        <v>107</v>
      </c>
      <c r="B1" s="942"/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  <c r="P1" s="942"/>
      <c r="Q1" s="942"/>
      <c r="R1" s="942"/>
      <c r="S1" s="942"/>
      <c r="T1" s="942"/>
      <c r="U1" s="942"/>
      <c r="V1" s="942"/>
      <c r="W1" s="942"/>
      <c r="X1" s="942"/>
      <c r="Y1" s="942"/>
      <c r="Z1" s="942"/>
      <c r="AA1" s="800" t="s">
        <v>50</v>
      </c>
    </row>
    <row r="2" spans="1:34" ht="15.75" thickBot="1" x14ac:dyDescent="0.3">
      <c r="A2" s="943" t="s">
        <v>17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943"/>
      <c r="O2" s="943"/>
      <c r="P2" s="943"/>
      <c r="Q2" s="943"/>
      <c r="R2" s="943"/>
      <c r="S2" s="943"/>
      <c r="T2" s="943"/>
      <c r="U2" s="943"/>
      <c r="V2" s="943"/>
      <c r="W2" s="943"/>
      <c r="X2" s="943"/>
      <c r="Y2" s="943"/>
      <c r="Z2" s="943"/>
    </row>
    <row r="3" spans="1:34" ht="15.75" thickBot="1" x14ac:dyDescent="0.3">
      <c r="A3" s="92" t="s">
        <v>108</v>
      </c>
      <c r="B3" s="93" t="s">
        <v>109</v>
      </c>
      <c r="C3" s="94"/>
      <c r="D3" s="95"/>
      <c r="E3" s="92" t="s">
        <v>108</v>
      </c>
      <c r="F3" s="944" t="s">
        <v>110</v>
      </c>
      <c r="G3" s="945"/>
      <c r="H3" s="946"/>
      <c r="I3" s="92" t="s">
        <v>108</v>
      </c>
      <c r="J3" s="93" t="s">
        <v>111</v>
      </c>
      <c r="K3" s="94"/>
      <c r="L3" s="95"/>
      <c r="M3" s="96"/>
      <c r="N3" s="92" t="s">
        <v>108</v>
      </c>
      <c r="O3" s="944" t="s">
        <v>112</v>
      </c>
      <c r="P3" s="945"/>
      <c r="Q3" s="946"/>
      <c r="R3" s="92" t="s">
        <v>108</v>
      </c>
      <c r="S3" s="97" t="s">
        <v>113</v>
      </c>
      <c r="T3" s="98"/>
      <c r="U3" s="99"/>
      <c r="V3" s="92" t="s">
        <v>108</v>
      </c>
      <c r="W3" s="97" t="s">
        <v>114</v>
      </c>
      <c r="X3" s="94"/>
      <c r="Y3" s="99"/>
      <c r="Z3" s="92" t="s">
        <v>108</v>
      </c>
      <c r="AA3" s="97" t="s">
        <v>115</v>
      </c>
      <c r="AB3" s="98"/>
      <c r="AC3" s="99"/>
      <c r="AD3" s="92" t="s">
        <v>108</v>
      </c>
      <c r="AE3" s="97" t="s">
        <v>116</v>
      </c>
      <c r="AF3" s="94"/>
      <c r="AG3" s="100"/>
      <c r="AH3" s="101" t="s">
        <v>105</v>
      </c>
    </row>
    <row r="4" spans="1:34" x14ac:dyDescent="0.25">
      <c r="A4" s="102"/>
      <c r="B4" s="103"/>
      <c r="C4" s="104"/>
      <c r="D4" s="105"/>
      <c r="E4" s="106"/>
      <c r="F4" s="107"/>
      <c r="G4" s="107"/>
      <c r="H4" s="108"/>
      <c r="I4" s="102"/>
      <c r="J4" s="103"/>
      <c r="K4" s="104"/>
      <c r="L4" s="109"/>
      <c r="M4" s="110"/>
      <c r="N4" s="102"/>
      <c r="O4" s="107"/>
      <c r="P4" s="107"/>
      <c r="Q4" s="108"/>
      <c r="R4" s="102"/>
      <c r="S4" s="107"/>
      <c r="T4" s="452"/>
      <c r="U4" s="453"/>
      <c r="V4" s="106"/>
      <c r="W4" s="107"/>
      <c r="X4" s="104"/>
      <c r="Y4" s="476"/>
      <c r="Z4" s="102"/>
      <c r="AA4" s="107"/>
      <c r="AB4" s="452"/>
      <c r="AC4" s="453"/>
      <c r="AD4" s="106"/>
      <c r="AE4" s="107"/>
      <c r="AF4" s="104"/>
      <c r="AG4" s="476"/>
      <c r="AH4" s="459"/>
    </row>
    <row r="5" spans="1:34" x14ac:dyDescent="0.25">
      <c r="A5" s="111">
        <v>1</v>
      </c>
      <c r="B5" s="112">
        <f>6770-340+14.25+A5*3.5+2*INT((A5-1)/8)</f>
        <v>6447.75</v>
      </c>
      <c r="C5" s="112" t="s">
        <v>106</v>
      </c>
      <c r="D5" s="113">
        <f>6770+14.25+A5*3.5+2*INT((A5-1)/8)</f>
        <v>6787.75</v>
      </c>
      <c r="E5" s="114"/>
      <c r="F5" s="112"/>
      <c r="G5" s="112"/>
      <c r="H5" s="115"/>
      <c r="I5" s="111"/>
      <c r="J5" s="112"/>
      <c r="K5" s="112"/>
      <c r="L5" s="115"/>
      <c r="M5" s="116"/>
      <c r="N5" s="111">
        <v>1</v>
      </c>
      <c r="O5" s="112">
        <f>6770-350+20*N5</f>
        <v>6440</v>
      </c>
      <c r="P5" s="112" t="s">
        <v>106</v>
      </c>
      <c r="Q5" s="115">
        <f>6770-10+20*N5</f>
        <v>6780</v>
      </c>
      <c r="R5" s="57"/>
      <c r="S5" s="58"/>
      <c r="T5" s="58"/>
      <c r="U5" s="81"/>
      <c r="V5" s="117"/>
      <c r="W5" s="58"/>
      <c r="X5" s="58"/>
      <c r="Y5" s="56"/>
      <c r="Z5" s="57"/>
      <c r="AA5" s="58"/>
      <c r="AB5" s="58"/>
      <c r="AC5" s="81"/>
      <c r="AD5" s="117"/>
      <c r="AE5" s="58"/>
      <c r="AF5" s="58"/>
      <c r="AG5" s="56"/>
      <c r="AH5" s="460" t="s">
        <v>117</v>
      </c>
    </row>
    <row r="6" spans="1:34" x14ac:dyDescent="0.25">
      <c r="A6" s="111">
        <v>2</v>
      </c>
      <c r="B6" s="112">
        <f t="shared" ref="B6:B69" si="0">6770-340+14.25+A6*3.5+2*INT((A6-1)/8)</f>
        <v>6451.25</v>
      </c>
      <c r="C6" s="112" t="s">
        <v>106</v>
      </c>
      <c r="D6" s="113">
        <f t="shared" ref="D6:D69" si="1">6770+14.25+A6*3.5+2*INT((A6-1)/8)</f>
        <v>6791.25</v>
      </c>
      <c r="E6" s="114">
        <v>1</v>
      </c>
      <c r="F6" s="112">
        <f>6770-340+12.5+E6*7+2*INT((E6-1)/4)</f>
        <v>6449.5</v>
      </c>
      <c r="G6" s="112" t="s">
        <v>106</v>
      </c>
      <c r="H6" s="115">
        <f>6770+12.5+E6*7+2*INT((E6-1)/4)</f>
        <v>6789.5</v>
      </c>
      <c r="I6" s="111"/>
      <c r="J6" s="112"/>
      <c r="K6" s="112"/>
      <c r="L6" s="115"/>
      <c r="M6" s="116"/>
      <c r="N6" s="111"/>
      <c r="O6" s="112"/>
      <c r="P6" s="112"/>
      <c r="Q6" s="115"/>
      <c r="R6" s="57"/>
      <c r="S6" s="112"/>
      <c r="T6" s="112"/>
      <c r="U6" s="477"/>
      <c r="V6" s="117"/>
      <c r="W6" s="112"/>
      <c r="X6" s="112"/>
      <c r="Y6" s="478"/>
      <c r="Z6" s="57"/>
      <c r="AA6" s="112"/>
      <c r="AB6" s="112"/>
      <c r="AC6" s="477"/>
      <c r="AD6" s="117"/>
      <c r="AE6" s="112"/>
      <c r="AF6" s="112"/>
      <c r="AG6" s="478"/>
      <c r="AH6" s="460" t="s">
        <v>118</v>
      </c>
    </row>
    <row r="7" spans="1:34" x14ac:dyDescent="0.25">
      <c r="A7" s="111">
        <v>3</v>
      </c>
      <c r="B7" s="112">
        <f t="shared" si="0"/>
        <v>6454.75</v>
      </c>
      <c r="C7" s="112" t="s">
        <v>106</v>
      </c>
      <c r="D7" s="113">
        <f t="shared" si="1"/>
        <v>6794.75</v>
      </c>
      <c r="E7" s="118"/>
      <c r="F7" s="112"/>
      <c r="G7" s="112"/>
      <c r="H7" s="115"/>
      <c r="I7" s="53">
        <v>1</v>
      </c>
      <c r="J7" s="112">
        <f>6770-340+9+I7*14+2*INT((I7-1)/2)</f>
        <v>6453</v>
      </c>
      <c r="K7" s="112" t="s">
        <v>106</v>
      </c>
      <c r="L7" s="115">
        <f>6770+9+I7*14+2*INT((I7-1)/2)</f>
        <v>6793</v>
      </c>
      <c r="M7" s="116"/>
      <c r="N7" s="111">
        <v>2</v>
      </c>
      <c r="O7" s="112">
        <f t="shared" ref="O7" si="2">6770-350+20*N7</f>
        <v>6460</v>
      </c>
      <c r="P7" s="112" t="s">
        <v>106</v>
      </c>
      <c r="Q7" s="115">
        <f t="shared" ref="Q7" si="3">6770-10+20*N7</f>
        <v>6800</v>
      </c>
      <c r="R7" s="57">
        <v>1</v>
      </c>
      <c r="S7" s="112">
        <f>6770-340+30*R7</f>
        <v>6460</v>
      </c>
      <c r="T7" s="112" t="s">
        <v>106</v>
      </c>
      <c r="U7" s="479">
        <f>6770+30*R7</f>
        <v>6800</v>
      </c>
      <c r="V7" s="117">
        <v>1</v>
      </c>
      <c r="W7" s="112">
        <f>6770-350+40*V7</f>
        <v>6460</v>
      </c>
      <c r="X7" s="112" t="s">
        <v>106</v>
      </c>
      <c r="Y7" s="115">
        <f>6770-10+40*V7</f>
        <v>6800</v>
      </c>
      <c r="Z7" s="57"/>
      <c r="AA7" s="112"/>
      <c r="AB7" s="112"/>
      <c r="AC7" s="479"/>
      <c r="AD7" s="117"/>
      <c r="AE7" s="112"/>
      <c r="AF7" s="112"/>
      <c r="AG7" s="115"/>
      <c r="AH7" s="460" t="s">
        <v>119</v>
      </c>
    </row>
    <row r="8" spans="1:34" x14ac:dyDescent="0.25">
      <c r="A8" s="111">
        <v>4</v>
      </c>
      <c r="B8" s="112">
        <f t="shared" si="0"/>
        <v>6458.25</v>
      </c>
      <c r="C8" s="112" t="s">
        <v>106</v>
      </c>
      <c r="D8" s="113">
        <f t="shared" si="1"/>
        <v>6798.25</v>
      </c>
      <c r="E8" s="114">
        <v>2</v>
      </c>
      <c r="F8" s="112">
        <f>6770-340+12.5+E8*7+2*INT((E8-1)/4)</f>
        <v>6456.5</v>
      </c>
      <c r="G8" s="112" t="s">
        <v>106</v>
      </c>
      <c r="H8" s="115">
        <f>6770+12.5+E8*7+2*INT((E8-1)/4)</f>
        <v>6796.5</v>
      </c>
      <c r="I8" s="53"/>
      <c r="J8" s="112"/>
      <c r="K8" s="112"/>
      <c r="L8" s="115"/>
      <c r="M8" s="116"/>
      <c r="N8" s="111"/>
      <c r="O8" s="112"/>
      <c r="P8" s="112"/>
      <c r="Q8" s="115"/>
      <c r="R8" s="57"/>
      <c r="S8" s="112"/>
      <c r="T8" s="112"/>
      <c r="U8" s="479"/>
      <c r="V8" s="117"/>
      <c r="W8" s="112"/>
      <c r="X8" s="112"/>
      <c r="Y8" s="115"/>
      <c r="Z8" s="57">
        <v>1</v>
      </c>
      <c r="AA8" s="112">
        <f>6770-325+30*Z8</f>
        <v>6475</v>
      </c>
      <c r="AB8" s="112" t="s">
        <v>106</v>
      </c>
      <c r="AC8" s="479">
        <f>6770+15+30*Z8</f>
        <v>6815</v>
      </c>
      <c r="AD8" s="117"/>
      <c r="AE8" s="112"/>
      <c r="AF8" s="112"/>
      <c r="AG8" s="115"/>
      <c r="AH8" s="460" t="s">
        <v>120</v>
      </c>
    </row>
    <row r="9" spans="1:34" x14ac:dyDescent="0.25">
      <c r="A9" s="111">
        <v>5</v>
      </c>
      <c r="B9" s="112">
        <f t="shared" si="0"/>
        <v>6461.75</v>
      </c>
      <c r="C9" s="112" t="s">
        <v>106</v>
      </c>
      <c r="D9" s="113">
        <f t="shared" si="1"/>
        <v>6801.75</v>
      </c>
      <c r="E9" s="118"/>
      <c r="F9" s="112"/>
      <c r="G9" s="112"/>
      <c r="H9" s="115"/>
      <c r="I9" s="53"/>
      <c r="J9" s="112"/>
      <c r="K9" s="112"/>
      <c r="L9" s="115"/>
      <c r="M9" s="116"/>
      <c r="N9" s="111">
        <v>3</v>
      </c>
      <c r="O9" s="112">
        <f t="shared" ref="O9" si="4">6770-350+20*N9</f>
        <v>6480</v>
      </c>
      <c r="P9" s="112" t="s">
        <v>106</v>
      </c>
      <c r="Q9" s="115">
        <f t="shared" ref="Q9" si="5">6770-10+20*N9</f>
        <v>6820</v>
      </c>
      <c r="R9" s="57"/>
      <c r="S9" s="58"/>
      <c r="T9" s="55"/>
      <c r="U9" s="480"/>
      <c r="V9" s="117"/>
      <c r="W9" s="58"/>
      <c r="X9" s="55"/>
      <c r="Y9" s="56"/>
      <c r="Z9" s="57"/>
      <c r="AA9" s="58"/>
      <c r="AB9" s="112"/>
      <c r="AC9" s="480"/>
      <c r="AD9" s="117">
        <v>1</v>
      </c>
      <c r="AE9" s="58">
        <f>6770-330+40*AD9</f>
        <v>6480</v>
      </c>
      <c r="AF9" s="112" t="s">
        <v>106</v>
      </c>
      <c r="AG9" s="56">
        <f>6770+10+40*AD9</f>
        <v>6820</v>
      </c>
      <c r="AH9" s="460" t="s">
        <v>121</v>
      </c>
    </row>
    <row r="10" spans="1:34" x14ac:dyDescent="0.25">
      <c r="A10" s="111">
        <v>6</v>
      </c>
      <c r="B10" s="112">
        <f t="shared" si="0"/>
        <v>6465.25</v>
      </c>
      <c r="C10" s="112" t="s">
        <v>106</v>
      </c>
      <c r="D10" s="113">
        <f t="shared" si="1"/>
        <v>6805.25</v>
      </c>
      <c r="E10" s="114">
        <v>3</v>
      </c>
      <c r="F10" s="112">
        <f t="shared" ref="F10" si="6">6770-340+12.5+E10*7+2*INT((E10-1)/4)</f>
        <v>6463.5</v>
      </c>
      <c r="G10" s="112" t="s">
        <v>106</v>
      </c>
      <c r="H10" s="115">
        <f t="shared" ref="H10" si="7">6770+12.5+E10*7+2*INT((E10-1)/4)</f>
        <v>6803.5</v>
      </c>
      <c r="I10" s="53"/>
      <c r="J10" s="112"/>
      <c r="K10" s="112"/>
      <c r="L10" s="115"/>
      <c r="M10" s="116"/>
      <c r="N10" s="111"/>
      <c r="O10" s="112"/>
      <c r="P10" s="112"/>
      <c r="Q10" s="115"/>
      <c r="R10" s="57">
        <v>2</v>
      </c>
      <c r="S10" s="112">
        <f t="shared" ref="S10" si="8">6770-340+30*R10</f>
        <v>6490</v>
      </c>
      <c r="T10" s="112" t="s">
        <v>106</v>
      </c>
      <c r="U10" s="479">
        <f t="shared" ref="U10" si="9">6770+30*R10</f>
        <v>6830</v>
      </c>
      <c r="V10" s="117"/>
      <c r="W10" s="112"/>
      <c r="X10" s="119"/>
      <c r="Y10" s="478"/>
      <c r="Z10" s="57"/>
      <c r="AA10" s="112"/>
      <c r="AB10" s="55"/>
      <c r="AC10" s="479"/>
      <c r="AD10" s="117"/>
      <c r="AE10" s="112"/>
      <c r="AF10" s="112"/>
      <c r="AG10" s="478"/>
      <c r="AH10" s="460" t="s">
        <v>122</v>
      </c>
    </row>
    <row r="11" spans="1:34" x14ac:dyDescent="0.25">
      <c r="A11" s="111">
        <v>7</v>
      </c>
      <c r="B11" s="112">
        <f t="shared" si="0"/>
        <v>6468.75</v>
      </c>
      <c r="C11" s="112" t="s">
        <v>106</v>
      </c>
      <c r="D11" s="113">
        <f t="shared" si="1"/>
        <v>6808.75</v>
      </c>
      <c r="E11" s="118"/>
      <c r="F11" s="112"/>
      <c r="G11" s="112"/>
      <c r="H11" s="115"/>
      <c r="I11" s="53">
        <v>2</v>
      </c>
      <c r="J11" s="112">
        <f t="shared" ref="J11" si="10">6770-340+9+I11*14+2*INT((I11-1)/2)</f>
        <v>6467</v>
      </c>
      <c r="K11" s="112" t="s">
        <v>106</v>
      </c>
      <c r="L11" s="115">
        <f t="shared" ref="L11" si="11">6770+9+I11*14+2*INT((I11-1)/2)</f>
        <v>6807</v>
      </c>
      <c r="M11" s="116"/>
      <c r="N11" s="111">
        <v>4</v>
      </c>
      <c r="O11" s="112">
        <f t="shared" ref="O11" si="12">6770-350+20*N11</f>
        <v>6500</v>
      </c>
      <c r="P11" s="112" t="s">
        <v>106</v>
      </c>
      <c r="Q11" s="115">
        <f t="shared" ref="Q11" si="13">6770-10+20*N11</f>
        <v>6840</v>
      </c>
      <c r="R11" s="57"/>
      <c r="S11" s="112"/>
      <c r="T11" s="112"/>
      <c r="U11" s="479"/>
      <c r="V11" s="117">
        <v>2</v>
      </c>
      <c r="W11" s="112">
        <f t="shared" ref="W11" si="14">6770-350+40*V11</f>
        <v>6500</v>
      </c>
      <c r="X11" s="112" t="s">
        <v>106</v>
      </c>
      <c r="Y11" s="115">
        <f t="shared" ref="Y11" si="15">6770-10+40*V11</f>
        <v>6840</v>
      </c>
      <c r="Z11" s="57">
        <v>2</v>
      </c>
      <c r="AA11" s="112">
        <f>6770-325+30*Z11</f>
        <v>6505</v>
      </c>
      <c r="AB11" s="112" t="s">
        <v>106</v>
      </c>
      <c r="AC11" s="479">
        <f>6770+15+30*Z11</f>
        <v>6845</v>
      </c>
      <c r="AD11" s="117"/>
      <c r="AE11" s="112"/>
      <c r="AF11" s="55"/>
      <c r="AG11" s="115"/>
      <c r="AH11" s="460" t="s">
        <v>123</v>
      </c>
    </row>
    <row r="12" spans="1:34" x14ac:dyDescent="0.25">
      <c r="A12" s="111">
        <v>8</v>
      </c>
      <c r="B12" s="112">
        <f t="shared" si="0"/>
        <v>6472.25</v>
      </c>
      <c r="C12" s="112" t="s">
        <v>106</v>
      </c>
      <c r="D12" s="113">
        <f t="shared" si="1"/>
        <v>6812.25</v>
      </c>
      <c r="E12" s="114">
        <v>4</v>
      </c>
      <c r="F12" s="112">
        <f t="shared" ref="F12" si="16">6770-340+12.5+E12*7+2*INT((E12-1)/4)</f>
        <v>6470.5</v>
      </c>
      <c r="G12" s="112" t="s">
        <v>106</v>
      </c>
      <c r="H12" s="115">
        <f t="shared" ref="H12" si="17">6770+12.5+E12*7+2*INT((E12-1)/4)</f>
        <v>6810.5</v>
      </c>
      <c r="I12" s="53"/>
      <c r="J12" s="112"/>
      <c r="K12" s="112"/>
      <c r="L12" s="115"/>
      <c r="M12" s="116"/>
      <c r="N12" s="111"/>
      <c r="O12" s="112"/>
      <c r="P12" s="112"/>
      <c r="Q12" s="115"/>
      <c r="R12" s="57"/>
      <c r="S12" s="58"/>
      <c r="T12" s="55"/>
      <c r="U12" s="480"/>
      <c r="V12" s="117"/>
      <c r="W12" s="112"/>
      <c r="X12" s="112"/>
      <c r="Y12" s="115"/>
      <c r="Z12" s="57"/>
      <c r="AA12" s="58"/>
      <c r="AB12" s="112"/>
      <c r="AC12" s="480"/>
      <c r="AD12" s="117"/>
      <c r="AE12" s="112"/>
      <c r="AF12" s="119"/>
      <c r="AG12" s="115"/>
      <c r="AH12" s="460" t="s">
        <v>122</v>
      </c>
    </row>
    <row r="13" spans="1:34" x14ac:dyDescent="0.25">
      <c r="A13" s="111">
        <v>9</v>
      </c>
      <c r="B13" s="112">
        <f t="shared" si="0"/>
        <v>6477.75</v>
      </c>
      <c r="C13" s="112" t="s">
        <v>106</v>
      </c>
      <c r="D13" s="113">
        <f t="shared" si="1"/>
        <v>6817.75</v>
      </c>
      <c r="E13" s="118"/>
      <c r="F13" s="112"/>
      <c r="G13" s="112"/>
      <c r="H13" s="115"/>
      <c r="I13" s="53"/>
      <c r="J13" s="112"/>
      <c r="K13" s="112"/>
      <c r="L13" s="115"/>
      <c r="M13" s="116"/>
      <c r="N13" s="111">
        <v>5</v>
      </c>
      <c r="O13" s="112">
        <f t="shared" ref="O13" si="18">6770-350+20*N13</f>
        <v>6520</v>
      </c>
      <c r="P13" s="112" t="s">
        <v>106</v>
      </c>
      <c r="Q13" s="115">
        <f t="shared" ref="Q13" si="19">6770-10+20*N13</f>
        <v>6860</v>
      </c>
      <c r="R13" s="57">
        <v>3</v>
      </c>
      <c r="S13" s="112">
        <f t="shared" ref="S13" si="20">6770-340+30*R13</f>
        <v>6520</v>
      </c>
      <c r="T13" s="112" t="s">
        <v>106</v>
      </c>
      <c r="U13" s="479">
        <f t="shared" ref="U13" si="21">6770+30*R13</f>
        <v>6860</v>
      </c>
      <c r="V13" s="117"/>
      <c r="W13" s="58"/>
      <c r="X13" s="55"/>
      <c r="Y13" s="56"/>
      <c r="Z13" s="57"/>
      <c r="AA13" s="112"/>
      <c r="AB13" s="55"/>
      <c r="AC13" s="479"/>
      <c r="AD13" s="117">
        <v>2</v>
      </c>
      <c r="AE13" s="58">
        <f>6770-330+40*AD13</f>
        <v>6520</v>
      </c>
      <c r="AF13" s="112" t="s">
        <v>106</v>
      </c>
      <c r="AG13" s="56">
        <f>6770+10+40*AD13</f>
        <v>6860</v>
      </c>
      <c r="AH13" s="459"/>
    </row>
    <row r="14" spans="1:34" x14ac:dyDescent="0.25">
      <c r="A14" s="111">
        <v>10</v>
      </c>
      <c r="B14" s="112">
        <f t="shared" si="0"/>
        <v>6481.25</v>
      </c>
      <c r="C14" s="112" t="s">
        <v>106</v>
      </c>
      <c r="D14" s="113">
        <f t="shared" si="1"/>
        <v>6821.25</v>
      </c>
      <c r="E14" s="114">
        <v>5</v>
      </c>
      <c r="F14" s="112">
        <f t="shared" ref="F14" si="22">6770-340+12.5+E14*7+2*INT((E14-1)/4)</f>
        <v>6479.5</v>
      </c>
      <c r="G14" s="112" t="s">
        <v>106</v>
      </c>
      <c r="H14" s="115">
        <f t="shared" ref="H14" si="23">6770+12.5+E14*7+2*INT((E14-1)/4)</f>
        <v>6819.5</v>
      </c>
      <c r="I14" s="53"/>
      <c r="J14" s="112"/>
      <c r="K14" s="112"/>
      <c r="L14" s="115"/>
      <c r="M14" s="116"/>
      <c r="N14" s="111"/>
      <c r="O14" s="112"/>
      <c r="P14" s="112"/>
      <c r="Q14" s="115"/>
      <c r="R14" s="57"/>
      <c r="S14" s="112"/>
      <c r="T14" s="112"/>
      <c r="U14" s="479"/>
      <c r="V14" s="117"/>
      <c r="W14" s="112"/>
      <c r="X14" s="119"/>
      <c r="Y14" s="478"/>
      <c r="Z14" s="57">
        <v>3</v>
      </c>
      <c r="AA14" s="112">
        <f>6770-325+30*Z14</f>
        <v>6535</v>
      </c>
      <c r="AB14" s="112" t="s">
        <v>106</v>
      </c>
      <c r="AC14" s="479">
        <f>6770+15+30*Z14</f>
        <v>6875</v>
      </c>
      <c r="AD14" s="117"/>
      <c r="AE14" s="112"/>
      <c r="AF14" s="112"/>
      <c r="AG14" s="478"/>
      <c r="AH14" s="459"/>
    </row>
    <row r="15" spans="1:34" x14ac:dyDescent="0.25">
      <c r="A15" s="111">
        <v>11</v>
      </c>
      <c r="B15" s="112">
        <f t="shared" si="0"/>
        <v>6484.75</v>
      </c>
      <c r="C15" s="112" t="s">
        <v>106</v>
      </c>
      <c r="D15" s="113">
        <f t="shared" si="1"/>
        <v>6824.75</v>
      </c>
      <c r="E15" s="118"/>
      <c r="F15" s="112"/>
      <c r="G15" s="112"/>
      <c r="H15" s="115"/>
      <c r="I15" s="53">
        <v>3</v>
      </c>
      <c r="J15" s="112">
        <f t="shared" ref="J15" si="24">6770-340+9+I15*14+2*INT((I15-1)/2)</f>
        <v>6483</v>
      </c>
      <c r="K15" s="112" t="s">
        <v>106</v>
      </c>
      <c r="L15" s="115">
        <f t="shared" ref="L15" si="25">6770+9+I15*14+2*INT((I15-1)/2)</f>
        <v>6823</v>
      </c>
      <c r="M15" s="116"/>
      <c r="N15" s="111">
        <v>6</v>
      </c>
      <c r="O15" s="112">
        <f t="shared" ref="O15" si="26">6770-350+20*N15</f>
        <v>6540</v>
      </c>
      <c r="P15" s="112" t="s">
        <v>106</v>
      </c>
      <c r="Q15" s="115">
        <f t="shared" ref="Q15" si="27">6770-10+20*N15</f>
        <v>6880</v>
      </c>
      <c r="R15" s="57"/>
      <c r="S15" s="58"/>
      <c r="T15" s="55"/>
      <c r="U15" s="480"/>
      <c r="V15" s="117">
        <v>3</v>
      </c>
      <c r="W15" s="112">
        <f t="shared" ref="W15" si="28">6770-350+40*V15</f>
        <v>6540</v>
      </c>
      <c r="X15" s="112" t="s">
        <v>106</v>
      </c>
      <c r="Y15" s="115">
        <f t="shared" ref="Y15" si="29">6770-10+40*V15</f>
        <v>6880</v>
      </c>
      <c r="Z15" s="57"/>
      <c r="AA15" s="58"/>
      <c r="AB15" s="112"/>
      <c r="AC15" s="480"/>
      <c r="AD15" s="117"/>
      <c r="AE15" s="112"/>
      <c r="AF15" s="55"/>
      <c r="AG15" s="115"/>
      <c r="AH15" s="459"/>
    </row>
    <row r="16" spans="1:34" x14ac:dyDescent="0.25">
      <c r="A16" s="111">
        <v>12</v>
      </c>
      <c r="B16" s="112">
        <f t="shared" si="0"/>
        <v>6488.25</v>
      </c>
      <c r="C16" s="112" t="s">
        <v>106</v>
      </c>
      <c r="D16" s="113">
        <f t="shared" si="1"/>
        <v>6828.25</v>
      </c>
      <c r="E16" s="114">
        <v>6</v>
      </c>
      <c r="F16" s="112">
        <f t="shared" ref="F16" si="30">6770-340+12.5+E16*7+2*INT((E16-1)/4)</f>
        <v>6486.5</v>
      </c>
      <c r="G16" s="112" t="s">
        <v>106</v>
      </c>
      <c r="H16" s="115">
        <f t="shared" ref="H16" si="31">6770+12.5+E16*7+2*INT((E16-1)/4)</f>
        <v>6826.5</v>
      </c>
      <c r="I16" s="53"/>
      <c r="J16" s="112"/>
      <c r="K16" s="112"/>
      <c r="L16" s="115"/>
      <c r="M16" s="116"/>
      <c r="N16" s="111"/>
      <c r="O16" s="112"/>
      <c r="P16" s="112"/>
      <c r="Q16" s="115"/>
      <c r="R16" s="57">
        <v>4</v>
      </c>
      <c r="S16" s="112">
        <f t="shared" ref="S16" si="32">6770-340+30*R16</f>
        <v>6550</v>
      </c>
      <c r="T16" s="112" t="s">
        <v>106</v>
      </c>
      <c r="U16" s="479">
        <f t="shared" ref="U16" si="33">6770+30*R16</f>
        <v>6890</v>
      </c>
      <c r="V16" s="117"/>
      <c r="W16" s="112"/>
      <c r="X16" s="112"/>
      <c r="Y16" s="115"/>
      <c r="Z16" s="57"/>
      <c r="AA16" s="112"/>
      <c r="AB16" s="55"/>
      <c r="AC16" s="479"/>
      <c r="AD16" s="117"/>
      <c r="AE16" s="112"/>
      <c r="AF16" s="119"/>
      <c r="AG16" s="115"/>
      <c r="AH16" s="459"/>
    </row>
    <row r="17" spans="1:34" x14ac:dyDescent="0.25">
      <c r="A17" s="111">
        <v>13</v>
      </c>
      <c r="B17" s="112">
        <f t="shared" si="0"/>
        <v>6491.75</v>
      </c>
      <c r="C17" s="112" t="s">
        <v>106</v>
      </c>
      <c r="D17" s="113">
        <f t="shared" si="1"/>
        <v>6831.75</v>
      </c>
      <c r="E17" s="118"/>
      <c r="F17" s="112"/>
      <c r="G17" s="112"/>
      <c r="H17" s="115"/>
      <c r="I17" s="53"/>
      <c r="J17" s="112"/>
      <c r="K17" s="112"/>
      <c r="L17" s="115"/>
      <c r="M17" s="116"/>
      <c r="N17" s="111">
        <v>7</v>
      </c>
      <c r="O17" s="112">
        <f t="shared" ref="O17" si="34">6770-350+20*N17</f>
        <v>6560</v>
      </c>
      <c r="P17" s="112" t="s">
        <v>106</v>
      </c>
      <c r="Q17" s="115">
        <f t="shared" ref="Q17" si="35">6770-10+20*N17</f>
        <v>6900</v>
      </c>
      <c r="R17" s="57"/>
      <c r="S17" s="112"/>
      <c r="T17" s="112"/>
      <c r="U17" s="479"/>
      <c r="V17" s="117"/>
      <c r="W17" s="58"/>
      <c r="X17" s="55"/>
      <c r="Y17" s="56"/>
      <c r="Z17" s="57">
        <v>4</v>
      </c>
      <c r="AA17" s="112">
        <f>6770-325+30*Z17</f>
        <v>6565</v>
      </c>
      <c r="AB17" s="112" t="s">
        <v>106</v>
      </c>
      <c r="AC17" s="479">
        <f>6770+15+30*Z17</f>
        <v>6905</v>
      </c>
      <c r="AD17" s="117">
        <v>3</v>
      </c>
      <c r="AE17" s="58">
        <f>6770-330+40*AD17</f>
        <v>6560</v>
      </c>
      <c r="AF17" s="112" t="s">
        <v>106</v>
      </c>
      <c r="AG17" s="56">
        <f>6770+10+40*AD17</f>
        <v>6900</v>
      </c>
      <c r="AH17" s="459"/>
    </row>
    <row r="18" spans="1:34" x14ac:dyDescent="0.25">
      <c r="A18" s="111">
        <v>14</v>
      </c>
      <c r="B18" s="112">
        <f t="shared" si="0"/>
        <v>6495.25</v>
      </c>
      <c r="C18" s="112" t="s">
        <v>106</v>
      </c>
      <c r="D18" s="113">
        <f t="shared" si="1"/>
        <v>6835.25</v>
      </c>
      <c r="E18" s="114">
        <v>7</v>
      </c>
      <c r="F18" s="112">
        <f t="shared" ref="F18" si="36">6770-340+12.5+E18*7+2*INT((E18-1)/4)</f>
        <v>6493.5</v>
      </c>
      <c r="G18" s="112" t="s">
        <v>106</v>
      </c>
      <c r="H18" s="115">
        <f t="shared" ref="H18" si="37">6770+12.5+E18*7+2*INT((E18-1)/4)</f>
        <v>6833.5</v>
      </c>
      <c r="I18" s="53"/>
      <c r="J18" s="112"/>
      <c r="K18" s="112"/>
      <c r="L18" s="115"/>
      <c r="M18" s="116"/>
      <c r="N18" s="111"/>
      <c r="O18" s="112"/>
      <c r="P18" s="112"/>
      <c r="Q18" s="115"/>
      <c r="R18" s="57"/>
      <c r="S18" s="58"/>
      <c r="T18" s="55"/>
      <c r="U18" s="480"/>
      <c r="V18" s="117"/>
      <c r="W18" s="112"/>
      <c r="X18" s="119"/>
      <c r="Y18" s="478"/>
      <c r="Z18" s="57"/>
      <c r="AA18" s="58"/>
      <c r="AB18" s="112"/>
      <c r="AC18" s="480"/>
      <c r="AD18" s="117"/>
      <c r="AE18" s="112"/>
      <c r="AF18" s="112"/>
      <c r="AG18" s="478"/>
      <c r="AH18" s="459"/>
    </row>
    <row r="19" spans="1:34" x14ac:dyDescent="0.25">
      <c r="A19" s="111">
        <v>15</v>
      </c>
      <c r="B19" s="112">
        <f t="shared" si="0"/>
        <v>6498.75</v>
      </c>
      <c r="C19" s="112" t="s">
        <v>106</v>
      </c>
      <c r="D19" s="113">
        <f t="shared" si="1"/>
        <v>6838.75</v>
      </c>
      <c r="E19" s="118"/>
      <c r="F19" s="112"/>
      <c r="G19" s="112"/>
      <c r="H19" s="115"/>
      <c r="I19" s="53">
        <v>4</v>
      </c>
      <c r="J19" s="112">
        <f t="shared" ref="J19" si="38">6770-340+9+I19*14+2*INT((I19-1)/2)</f>
        <v>6497</v>
      </c>
      <c r="K19" s="112" t="s">
        <v>106</v>
      </c>
      <c r="L19" s="115">
        <f t="shared" ref="L19" si="39">6770+9+I19*14+2*INT((I19-1)/2)</f>
        <v>6837</v>
      </c>
      <c r="M19" s="116"/>
      <c r="N19" s="111">
        <v>8</v>
      </c>
      <c r="O19" s="112">
        <f t="shared" ref="O19" si="40">6770-350+20*N19</f>
        <v>6580</v>
      </c>
      <c r="P19" s="112" t="s">
        <v>106</v>
      </c>
      <c r="Q19" s="115">
        <f t="shared" ref="Q19" si="41">6770-10+20*N19</f>
        <v>6920</v>
      </c>
      <c r="R19" s="57">
        <v>5</v>
      </c>
      <c r="S19" s="112">
        <f t="shared" ref="S19" si="42">6770-340+30*R19</f>
        <v>6580</v>
      </c>
      <c r="T19" s="112" t="s">
        <v>106</v>
      </c>
      <c r="U19" s="479">
        <f t="shared" ref="U19" si="43">6770+30*R19</f>
        <v>6920</v>
      </c>
      <c r="V19" s="117">
        <v>4</v>
      </c>
      <c r="W19" s="112">
        <f t="shared" ref="W19" si="44">6770-350+40*V19</f>
        <v>6580</v>
      </c>
      <c r="X19" s="112" t="s">
        <v>106</v>
      </c>
      <c r="Y19" s="115">
        <f t="shared" ref="Y19" si="45">6770-10+40*V19</f>
        <v>6920</v>
      </c>
      <c r="Z19" s="57"/>
      <c r="AA19" s="112"/>
      <c r="AB19" s="55"/>
      <c r="AC19" s="479"/>
      <c r="AD19" s="117"/>
      <c r="AE19" s="112"/>
      <c r="AF19" s="55"/>
      <c r="AG19" s="115"/>
      <c r="AH19" s="459"/>
    </row>
    <row r="20" spans="1:34" x14ac:dyDescent="0.25">
      <c r="A20" s="111">
        <v>16</v>
      </c>
      <c r="B20" s="112">
        <f t="shared" si="0"/>
        <v>6502.25</v>
      </c>
      <c r="C20" s="112" t="s">
        <v>106</v>
      </c>
      <c r="D20" s="113">
        <f t="shared" si="1"/>
        <v>6842.25</v>
      </c>
      <c r="E20" s="114">
        <v>8</v>
      </c>
      <c r="F20" s="112">
        <f t="shared" ref="F20" si="46">6770-340+12.5+E20*7+2*INT((E20-1)/4)</f>
        <v>6500.5</v>
      </c>
      <c r="G20" s="112" t="s">
        <v>106</v>
      </c>
      <c r="H20" s="115">
        <f t="shared" ref="H20" si="47">6770+12.5+E20*7+2*INT((E20-1)/4)</f>
        <v>6840.5</v>
      </c>
      <c r="I20" s="53"/>
      <c r="J20" s="112"/>
      <c r="K20" s="112"/>
      <c r="L20" s="115"/>
      <c r="M20" s="116"/>
      <c r="N20" s="111"/>
      <c r="O20" s="112"/>
      <c r="P20" s="112"/>
      <c r="Q20" s="115"/>
      <c r="R20" s="57"/>
      <c r="S20" s="112"/>
      <c r="T20" s="112"/>
      <c r="U20" s="479"/>
      <c r="V20" s="117"/>
      <c r="W20" s="112"/>
      <c r="X20" s="112"/>
      <c r="Y20" s="115"/>
      <c r="Z20" s="57">
        <v>5</v>
      </c>
      <c r="AA20" s="112">
        <f>6770-325+30*Z20</f>
        <v>6595</v>
      </c>
      <c r="AB20" s="112" t="s">
        <v>106</v>
      </c>
      <c r="AC20" s="479">
        <f>6770+15+30*Z20</f>
        <v>6935</v>
      </c>
      <c r="AD20" s="117"/>
      <c r="AE20" s="112"/>
      <c r="AF20" s="119"/>
      <c r="AG20" s="115"/>
      <c r="AH20" s="459"/>
    </row>
    <row r="21" spans="1:34" x14ac:dyDescent="0.25">
      <c r="A21" s="111">
        <v>17</v>
      </c>
      <c r="B21" s="112">
        <f t="shared" si="0"/>
        <v>6507.75</v>
      </c>
      <c r="C21" s="112" t="s">
        <v>106</v>
      </c>
      <c r="D21" s="113">
        <f t="shared" si="1"/>
        <v>6847.75</v>
      </c>
      <c r="E21" s="118"/>
      <c r="F21" s="112"/>
      <c r="G21" s="112"/>
      <c r="H21" s="115"/>
      <c r="I21" s="53"/>
      <c r="J21" s="112"/>
      <c r="K21" s="112"/>
      <c r="L21" s="115"/>
      <c r="M21" s="116"/>
      <c r="N21" s="111">
        <v>9</v>
      </c>
      <c r="O21" s="112">
        <f t="shared" ref="O21" si="48">6770-350+20*N21</f>
        <v>6600</v>
      </c>
      <c r="P21" s="112" t="s">
        <v>106</v>
      </c>
      <c r="Q21" s="115">
        <f t="shared" ref="Q21" si="49">6770-10+20*N21</f>
        <v>6940</v>
      </c>
      <c r="R21" s="57"/>
      <c r="S21" s="58"/>
      <c r="T21" s="55"/>
      <c r="U21" s="480"/>
      <c r="V21" s="117"/>
      <c r="W21" s="58"/>
      <c r="X21" s="55"/>
      <c r="Y21" s="56"/>
      <c r="Z21" s="57"/>
      <c r="AA21" s="58"/>
      <c r="AB21" s="112"/>
      <c r="AC21" s="480"/>
      <c r="AD21" s="117">
        <v>4</v>
      </c>
      <c r="AE21" s="58">
        <f>6770-330+40*AD21</f>
        <v>6600</v>
      </c>
      <c r="AF21" s="112" t="s">
        <v>106</v>
      </c>
      <c r="AG21" s="56">
        <f>6770+10+40*AD21</f>
        <v>6940</v>
      </c>
      <c r="AH21" s="459"/>
    </row>
    <row r="22" spans="1:34" x14ac:dyDescent="0.25">
      <c r="A22" s="111">
        <v>18</v>
      </c>
      <c r="B22" s="112">
        <f t="shared" si="0"/>
        <v>6511.25</v>
      </c>
      <c r="C22" s="112" t="s">
        <v>106</v>
      </c>
      <c r="D22" s="113">
        <f t="shared" si="1"/>
        <v>6851.25</v>
      </c>
      <c r="E22" s="114">
        <v>9</v>
      </c>
      <c r="F22" s="112">
        <f t="shared" ref="F22" si="50">6770-340+12.5+E22*7+2*INT((E22-1)/4)</f>
        <v>6509.5</v>
      </c>
      <c r="G22" s="112" t="s">
        <v>106</v>
      </c>
      <c r="H22" s="115">
        <f t="shared" ref="H22" si="51">6770+12.5+E22*7+2*INT((E22-1)/4)</f>
        <v>6849.5</v>
      </c>
      <c r="I22" s="53"/>
      <c r="J22" s="112"/>
      <c r="K22" s="112"/>
      <c r="L22" s="115"/>
      <c r="M22" s="116"/>
      <c r="N22" s="111"/>
      <c r="O22" s="112"/>
      <c r="P22" s="112"/>
      <c r="Q22" s="115"/>
      <c r="R22" s="57">
        <v>6</v>
      </c>
      <c r="S22" s="112">
        <f t="shared" ref="S22" si="52">6770-340+30*R22</f>
        <v>6610</v>
      </c>
      <c r="T22" s="112" t="s">
        <v>106</v>
      </c>
      <c r="U22" s="479">
        <f t="shared" ref="U22" si="53">6770+30*R22</f>
        <v>6950</v>
      </c>
      <c r="V22" s="117"/>
      <c r="W22" s="112"/>
      <c r="X22" s="119"/>
      <c r="Y22" s="478"/>
      <c r="Z22" s="57"/>
      <c r="AA22" s="112"/>
      <c r="AB22" s="55"/>
      <c r="AC22" s="479"/>
      <c r="AD22" s="117"/>
      <c r="AE22" s="112"/>
      <c r="AF22" s="112"/>
      <c r="AG22" s="478"/>
      <c r="AH22" s="459"/>
    </row>
    <row r="23" spans="1:34" x14ac:dyDescent="0.25">
      <c r="A23" s="111">
        <v>19</v>
      </c>
      <c r="B23" s="112">
        <f t="shared" si="0"/>
        <v>6514.75</v>
      </c>
      <c r="C23" s="112" t="s">
        <v>106</v>
      </c>
      <c r="D23" s="113">
        <f t="shared" si="1"/>
        <v>6854.75</v>
      </c>
      <c r="E23" s="118"/>
      <c r="F23" s="112"/>
      <c r="G23" s="112"/>
      <c r="H23" s="115"/>
      <c r="I23" s="53">
        <v>5</v>
      </c>
      <c r="J23" s="112">
        <f t="shared" ref="J23" si="54">6770-340+9+I23*14+2*INT((I23-1)/2)</f>
        <v>6513</v>
      </c>
      <c r="K23" s="112" t="s">
        <v>106</v>
      </c>
      <c r="L23" s="115">
        <f t="shared" ref="L23" si="55">6770+9+I23*14+2*INT((I23-1)/2)</f>
        <v>6853</v>
      </c>
      <c r="M23" s="116"/>
      <c r="N23" s="111">
        <v>10</v>
      </c>
      <c r="O23" s="112">
        <f t="shared" ref="O23" si="56">6770-350+20*N23</f>
        <v>6620</v>
      </c>
      <c r="P23" s="112" t="s">
        <v>106</v>
      </c>
      <c r="Q23" s="115">
        <f t="shared" ref="Q23" si="57">6770-10+20*N23</f>
        <v>6960</v>
      </c>
      <c r="R23" s="57"/>
      <c r="S23" s="112"/>
      <c r="T23" s="112"/>
      <c r="U23" s="479"/>
      <c r="V23" s="117">
        <v>5</v>
      </c>
      <c r="W23" s="112">
        <f t="shared" ref="W23" si="58">6770-350+40*V23</f>
        <v>6620</v>
      </c>
      <c r="X23" s="112" t="s">
        <v>106</v>
      </c>
      <c r="Y23" s="115">
        <f t="shared" ref="Y23" si="59">6770-10+40*V23</f>
        <v>6960</v>
      </c>
      <c r="Z23" s="57">
        <v>6</v>
      </c>
      <c r="AA23" s="112">
        <f>6770-325+30*Z23</f>
        <v>6625</v>
      </c>
      <c r="AB23" s="112" t="s">
        <v>106</v>
      </c>
      <c r="AC23" s="479">
        <f>6770+15+30*Z23</f>
        <v>6965</v>
      </c>
      <c r="AD23" s="117"/>
      <c r="AE23" s="112"/>
      <c r="AF23" s="55"/>
      <c r="AG23" s="115"/>
      <c r="AH23" s="459"/>
    </row>
    <row r="24" spans="1:34" x14ac:dyDescent="0.25">
      <c r="A24" s="111">
        <v>20</v>
      </c>
      <c r="B24" s="112">
        <f t="shared" si="0"/>
        <v>6518.25</v>
      </c>
      <c r="C24" s="112" t="s">
        <v>106</v>
      </c>
      <c r="D24" s="113">
        <f t="shared" si="1"/>
        <v>6858.25</v>
      </c>
      <c r="E24" s="114">
        <v>10</v>
      </c>
      <c r="F24" s="112">
        <f t="shared" ref="F24" si="60">6770-340+12.5+E24*7+2*INT((E24-1)/4)</f>
        <v>6516.5</v>
      </c>
      <c r="G24" s="112" t="s">
        <v>106</v>
      </c>
      <c r="H24" s="115">
        <f t="shared" ref="H24" si="61">6770+12.5+E24*7+2*INT((E24-1)/4)</f>
        <v>6856.5</v>
      </c>
      <c r="I24" s="53"/>
      <c r="J24" s="112"/>
      <c r="K24" s="112"/>
      <c r="L24" s="115"/>
      <c r="M24" s="116"/>
      <c r="N24" s="111"/>
      <c r="O24" s="112"/>
      <c r="P24" s="112"/>
      <c r="Q24" s="115"/>
      <c r="R24" s="57"/>
      <c r="S24" s="58"/>
      <c r="T24" s="55"/>
      <c r="U24" s="480"/>
      <c r="V24" s="117"/>
      <c r="W24" s="112"/>
      <c r="X24" s="112"/>
      <c r="Y24" s="115"/>
      <c r="Z24" s="57"/>
      <c r="AA24" s="58"/>
      <c r="AB24" s="112"/>
      <c r="AC24" s="480"/>
      <c r="AD24" s="117"/>
      <c r="AE24" s="112"/>
      <c r="AF24" s="119"/>
      <c r="AG24" s="115"/>
      <c r="AH24" s="459"/>
    </row>
    <row r="25" spans="1:34" x14ac:dyDescent="0.25">
      <c r="A25" s="111">
        <v>21</v>
      </c>
      <c r="B25" s="112">
        <f t="shared" si="0"/>
        <v>6521.75</v>
      </c>
      <c r="C25" s="112" t="s">
        <v>106</v>
      </c>
      <c r="D25" s="113">
        <f t="shared" si="1"/>
        <v>6861.75</v>
      </c>
      <c r="E25" s="118"/>
      <c r="F25" s="112"/>
      <c r="G25" s="112"/>
      <c r="H25" s="115"/>
      <c r="I25" s="53"/>
      <c r="J25" s="112"/>
      <c r="K25" s="112"/>
      <c r="L25" s="115"/>
      <c r="M25" s="116"/>
      <c r="N25" s="111">
        <v>11</v>
      </c>
      <c r="O25" s="112">
        <f t="shared" ref="O25" si="62">6770-350+20*N25</f>
        <v>6640</v>
      </c>
      <c r="P25" s="112" t="s">
        <v>106</v>
      </c>
      <c r="Q25" s="115">
        <f t="shared" ref="Q25" si="63">6770-10+20*N25</f>
        <v>6980</v>
      </c>
      <c r="R25" s="57">
        <v>7</v>
      </c>
      <c r="S25" s="112">
        <f t="shared" ref="S25" si="64">6770-340+30*R25</f>
        <v>6640</v>
      </c>
      <c r="T25" s="112" t="s">
        <v>106</v>
      </c>
      <c r="U25" s="479">
        <f t="shared" ref="U25" si="65">6770+30*R25</f>
        <v>6980</v>
      </c>
      <c r="V25" s="117"/>
      <c r="W25" s="58"/>
      <c r="X25" s="55"/>
      <c r="Y25" s="56"/>
      <c r="Z25" s="57"/>
      <c r="AA25" s="112"/>
      <c r="AB25" s="55"/>
      <c r="AC25" s="479"/>
      <c r="AD25" s="117">
        <v>5</v>
      </c>
      <c r="AE25" s="58">
        <f>6770-330+40*AD25</f>
        <v>6640</v>
      </c>
      <c r="AF25" s="112" t="s">
        <v>106</v>
      </c>
      <c r="AG25" s="56">
        <f>6770+10+40*AD25</f>
        <v>6980</v>
      </c>
      <c r="AH25" s="459"/>
    </row>
    <row r="26" spans="1:34" x14ac:dyDescent="0.25">
      <c r="A26" s="111">
        <v>22</v>
      </c>
      <c r="B26" s="112">
        <f t="shared" si="0"/>
        <v>6525.25</v>
      </c>
      <c r="C26" s="112" t="s">
        <v>106</v>
      </c>
      <c r="D26" s="113">
        <f t="shared" si="1"/>
        <v>6865.25</v>
      </c>
      <c r="E26" s="114">
        <v>11</v>
      </c>
      <c r="F26" s="112">
        <f t="shared" ref="F26" si="66">6770-340+12.5+E26*7+2*INT((E26-1)/4)</f>
        <v>6523.5</v>
      </c>
      <c r="G26" s="112" t="s">
        <v>106</v>
      </c>
      <c r="H26" s="115">
        <f t="shared" ref="H26" si="67">6770+12.5+E26*7+2*INT((E26-1)/4)</f>
        <v>6863.5</v>
      </c>
      <c r="I26" s="53"/>
      <c r="J26" s="112"/>
      <c r="K26" s="112"/>
      <c r="L26" s="115"/>
      <c r="M26" s="116"/>
      <c r="N26" s="111"/>
      <c r="O26" s="112"/>
      <c r="P26" s="112"/>
      <c r="Q26" s="115"/>
      <c r="R26" s="57"/>
      <c r="S26" s="112"/>
      <c r="T26" s="112"/>
      <c r="U26" s="479"/>
      <c r="V26" s="117"/>
      <c r="W26" s="112"/>
      <c r="X26" s="119"/>
      <c r="Y26" s="478"/>
      <c r="Z26" s="57">
        <v>7</v>
      </c>
      <c r="AA26" s="112">
        <f>6770-325+30*Z26</f>
        <v>6655</v>
      </c>
      <c r="AB26" s="112" t="s">
        <v>106</v>
      </c>
      <c r="AC26" s="479">
        <f>6770+15+30*Z26</f>
        <v>6995</v>
      </c>
      <c r="AD26" s="117"/>
      <c r="AE26" s="112"/>
      <c r="AF26" s="112"/>
      <c r="AG26" s="478"/>
      <c r="AH26" s="459"/>
    </row>
    <row r="27" spans="1:34" x14ac:dyDescent="0.25">
      <c r="A27" s="111">
        <v>23</v>
      </c>
      <c r="B27" s="112">
        <f t="shared" si="0"/>
        <v>6528.75</v>
      </c>
      <c r="C27" s="112" t="s">
        <v>106</v>
      </c>
      <c r="D27" s="113">
        <f t="shared" si="1"/>
        <v>6868.75</v>
      </c>
      <c r="E27" s="118"/>
      <c r="F27" s="112"/>
      <c r="G27" s="112"/>
      <c r="H27" s="115"/>
      <c r="I27" s="53">
        <v>6</v>
      </c>
      <c r="J27" s="112">
        <f t="shared" ref="J27" si="68">6770-340+9+I27*14+2*INT((I27-1)/2)</f>
        <v>6527</v>
      </c>
      <c r="K27" s="112" t="s">
        <v>106</v>
      </c>
      <c r="L27" s="115">
        <f t="shared" ref="L27" si="69">6770+9+I27*14+2*INT((I27-1)/2)</f>
        <v>6867</v>
      </c>
      <c r="M27" s="116"/>
      <c r="N27" s="111">
        <v>12</v>
      </c>
      <c r="O27" s="112">
        <f t="shared" ref="O27" si="70">6770-350+20*N27</f>
        <v>6660</v>
      </c>
      <c r="P27" s="112" t="s">
        <v>106</v>
      </c>
      <c r="Q27" s="115">
        <f t="shared" ref="Q27" si="71">6770-10+20*N27</f>
        <v>7000</v>
      </c>
      <c r="R27" s="57"/>
      <c r="S27" s="58"/>
      <c r="T27" s="55"/>
      <c r="U27" s="480"/>
      <c r="V27" s="117">
        <v>6</v>
      </c>
      <c r="W27" s="112">
        <f t="shared" ref="W27" si="72">6770-350+40*V27</f>
        <v>6660</v>
      </c>
      <c r="X27" s="112" t="s">
        <v>106</v>
      </c>
      <c r="Y27" s="115">
        <f t="shared" ref="Y27" si="73">6770-10+40*V27</f>
        <v>7000</v>
      </c>
      <c r="Z27" s="57"/>
      <c r="AA27" s="58"/>
      <c r="AB27" s="112"/>
      <c r="AC27" s="480"/>
      <c r="AD27" s="117"/>
      <c r="AE27" s="112"/>
      <c r="AF27" s="55"/>
      <c r="AG27" s="115"/>
      <c r="AH27" s="459"/>
    </row>
    <row r="28" spans="1:34" x14ac:dyDescent="0.25">
      <c r="A28" s="111">
        <v>24</v>
      </c>
      <c r="B28" s="112">
        <f t="shared" si="0"/>
        <v>6532.25</v>
      </c>
      <c r="C28" s="112" t="s">
        <v>106</v>
      </c>
      <c r="D28" s="113">
        <f t="shared" si="1"/>
        <v>6872.25</v>
      </c>
      <c r="E28" s="114">
        <v>12</v>
      </c>
      <c r="F28" s="112">
        <f t="shared" ref="F28" si="74">6770-340+12.5+E28*7+2*INT((E28-1)/4)</f>
        <v>6530.5</v>
      </c>
      <c r="G28" s="112" t="s">
        <v>106</v>
      </c>
      <c r="H28" s="115">
        <f t="shared" ref="H28" si="75">6770+12.5+E28*7+2*INT((E28-1)/4)</f>
        <v>6870.5</v>
      </c>
      <c r="I28" s="53"/>
      <c r="J28" s="112"/>
      <c r="K28" s="112"/>
      <c r="L28" s="115"/>
      <c r="M28" s="116"/>
      <c r="N28" s="111"/>
      <c r="O28" s="112"/>
      <c r="P28" s="112"/>
      <c r="Q28" s="115"/>
      <c r="R28" s="57">
        <v>8</v>
      </c>
      <c r="S28" s="112">
        <f t="shared" ref="S28" si="76">6770-340+30*R28</f>
        <v>6670</v>
      </c>
      <c r="T28" s="112" t="s">
        <v>106</v>
      </c>
      <c r="U28" s="479">
        <f t="shared" ref="U28" si="77">6770+30*R28</f>
        <v>7010</v>
      </c>
      <c r="V28" s="117"/>
      <c r="W28" s="112"/>
      <c r="X28" s="112"/>
      <c r="Y28" s="115"/>
      <c r="Z28" s="57"/>
      <c r="AA28" s="112"/>
      <c r="AB28" s="55"/>
      <c r="AC28" s="479"/>
      <c r="AD28" s="117"/>
      <c r="AE28" s="112"/>
      <c r="AF28" s="119"/>
      <c r="AG28" s="115"/>
      <c r="AH28" s="459"/>
    </row>
    <row r="29" spans="1:34" x14ac:dyDescent="0.25">
      <c r="A29" s="111">
        <v>25</v>
      </c>
      <c r="B29" s="112">
        <f t="shared" si="0"/>
        <v>6537.75</v>
      </c>
      <c r="C29" s="112" t="s">
        <v>106</v>
      </c>
      <c r="D29" s="113">
        <f t="shared" si="1"/>
        <v>6877.75</v>
      </c>
      <c r="E29" s="118"/>
      <c r="F29" s="112"/>
      <c r="G29" s="112"/>
      <c r="H29" s="115"/>
      <c r="I29" s="53"/>
      <c r="J29" s="112"/>
      <c r="K29" s="112"/>
      <c r="L29" s="115"/>
      <c r="M29" s="116"/>
      <c r="N29" s="111">
        <v>13</v>
      </c>
      <c r="O29" s="112">
        <f t="shared" ref="O29" si="78">6770-350+20*N29</f>
        <v>6680</v>
      </c>
      <c r="P29" s="112" t="s">
        <v>106</v>
      </c>
      <c r="Q29" s="115">
        <f t="shared" ref="Q29" si="79">6770-10+20*N29</f>
        <v>7020</v>
      </c>
      <c r="R29" s="57"/>
      <c r="S29" s="112"/>
      <c r="T29" s="112"/>
      <c r="U29" s="479"/>
      <c r="V29" s="117"/>
      <c r="W29" s="58"/>
      <c r="X29" s="55"/>
      <c r="Y29" s="56"/>
      <c r="Z29" s="57">
        <v>8</v>
      </c>
      <c r="AA29" s="112">
        <f>6770-325+30*Z29</f>
        <v>6685</v>
      </c>
      <c r="AB29" s="112" t="s">
        <v>106</v>
      </c>
      <c r="AC29" s="479">
        <f>6770+15+30*Z29</f>
        <v>7025</v>
      </c>
      <c r="AD29" s="117">
        <v>6</v>
      </c>
      <c r="AE29" s="58">
        <f>6770-330+40*AD29</f>
        <v>6680</v>
      </c>
      <c r="AF29" s="112" t="s">
        <v>106</v>
      </c>
      <c r="AG29" s="56">
        <f>6770+10+40*AD29</f>
        <v>7020</v>
      </c>
      <c r="AH29" s="459"/>
    </row>
    <row r="30" spans="1:34" x14ac:dyDescent="0.25">
      <c r="A30" s="111">
        <v>26</v>
      </c>
      <c r="B30" s="112">
        <f t="shared" si="0"/>
        <v>6541.25</v>
      </c>
      <c r="C30" s="112" t="s">
        <v>106</v>
      </c>
      <c r="D30" s="113">
        <f t="shared" si="1"/>
        <v>6881.25</v>
      </c>
      <c r="E30" s="114">
        <v>13</v>
      </c>
      <c r="F30" s="112">
        <f t="shared" ref="F30" si="80">6770-340+12.5+E30*7+2*INT((E30-1)/4)</f>
        <v>6539.5</v>
      </c>
      <c r="G30" s="112" t="s">
        <v>106</v>
      </c>
      <c r="H30" s="115">
        <f t="shared" ref="H30" si="81">6770+12.5+E30*7+2*INT((E30-1)/4)</f>
        <v>6879.5</v>
      </c>
      <c r="I30" s="53"/>
      <c r="J30" s="112"/>
      <c r="K30" s="112"/>
      <c r="L30" s="115"/>
      <c r="M30" s="116"/>
      <c r="N30" s="111"/>
      <c r="O30" s="112"/>
      <c r="P30" s="112"/>
      <c r="Q30" s="115"/>
      <c r="R30" s="57"/>
      <c r="S30" s="58"/>
      <c r="T30" s="55"/>
      <c r="U30" s="480"/>
      <c r="V30" s="117"/>
      <c r="W30" s="112"/>
      <c r="X30" s="119"/>
      <c r="Y30" s="478"/>
      <c r="Z30" s="57"/>
      <c r="AA30" s="58"/>
      <c r="AB30" s="112"/>
      <c r="AC30" s="480"/>
      <c r="AD30" s="117"/>
      <c r="AE30" s="112"/>
      <c r="AF30" s="112"/>
      <c r="AG30" s="478"/>
      <c r="AH30" s="459"/>
    </row>
    <row r="31" spans="1:34" x14ac:dyDescent="0.25">
      <c r="A31" s="111">
        <v>27</v>
      </c>
      <c r="B31" s="112">
        <f t="shared" si="0"/>
        <v>6544.75</v>
      </c>
      <c r="C31" s="112" t="s">
        <v>106</v>
      </c>
      <c r="D31" s="113">
        <f t="shared" si="1"/>
        <v>6884.75</v>
      </c>
      <c r="E31" s="118"/>
      <c r="F31" s="112"/>
      <c r="G31" s="112"/>
      <c r="H31" s="115"/>
      <c r="I31" s="53">
        <v>7</v>
      </c>
      <c r="J31" s="112">
        <f t="shared" ref="J31" si="82">6770-340+9+I31*14+2*INT((I31-1)/2)</f>
        <v>6543</v>
      </c>
      <c r="K31" s="112" t="s">
        <v>106</v>
      </c>
      <c r="L31" s="115">
        <f t="shared" ref="L31" si="83">6770+9+I31*14+2*INT((I31-1)/2)</f>
        <v>6883</v>
      </c>
      <c r="M31" s="116"/>
      <c r="N31" s="111">
        <v>14</v>
      </c>
      <c r="O31" s="112">
        <f t="shared" ref="O31" si="84">6770-350+20*N31</f>
        <v>6700</v>
      </c>
      <c r="P31" s="112" t="s">
        <v>106</v>
      </c>
      <c r="Q31" s="115">
        <f t="shared" ref="Q31" si="85">6770-10+20*N31</f>
        <v>7040</v>
      </c>
      <c r="R31" s="57">
        <v>9</v>
      </c>
      <c r="S31" s="112">
        <f t="shared" ref="S31" si="86">6770-340+30*R31</f>
        <v>6700</v>
      </c>
      <c r="T31" s="112" t="s">
        <v>106</v>
      </c>
      <c r="U31" s="479">
        <f t="shared" ref="U31" si="87">6770+30*R31</f>
        <v>7040</v>
      </c>
      <c r="V31" s="117">
        <v>7</v>
      </c>
      <c r="W31" s="112">
        <f t="shared" ref="W31" si="88">6770-350+40*V31</f>
        <v>6700</v>
      </c>
      <c r="X31" s="112" t="s">
        <v>106</v>
      </c>
      <c r="Y31" s="115">
        <f t="shared" ref="Y31" si="89">6770-10+40*V31</f>
        <v>7040</v>
      </c>
      <c r="Z31" s="57"/>
      <c r="AA31" s="112"/>
      <c r="AB31" s="55"/>
      <c r="AC31" s="479"/>
      <c r="AD31" s="117"/>
      <c r="AE31" s="112"/>
      <c r="AF31" s="55"/>
      <c r="AG31" s="115"/>
      <c r="AH31" s="459"/>
    </row>
    <row r="32" spans="1:34" x14ac:dyDescent="0.25">
      <c r="A32" s="111">
        <v>28</v>
      </c>
      <c r="B32" s="112">
        <f t="shared" si="0"/>
        <v>6548.25</v>
      </c>
      <c r="C32" s="112" t="s">
        <v>106</v>
      </c>
      <c r="D32" s="113">
        <f t="shared" si="1"/>
        <v>6888.25</v>
      </c>
      <c r="E32" s="114">
        <v>14</v>
      </c>
      <c r="F32" s="112">
        <f t="shared" ref="F32" si="90">6770-340+12.5+E32*7+2*INT((E32-1)/4)</f>
        <v>6546.5</v>
      </c>
      <c r="G32" s="112" t="s">
        <v>106</v>
      </c>
      <c r="H32" s="115">
        <f t="shared" ref="H32" si="91">6770+12.5+E32*7+2*INT((E32-1)/4)</f>
        <v>6886.5</v>
      </c>
      <c r="I32" s="53"/>
      <c r="J32" s="112"/>
      <c r="K32" s="112"/>
      <c r="L32" s="115"/>
      <c r="M32" s="116"/>
      <c r="N32" s="111"/>
      <c r="O32" s="112"/>
      <c r="P32" s="112"/>
      <c r="Q32" s="115"/>
      <c r="R32" s="57"/>
      <c r="S32" s="112"/>
      <c r="T32" s="112"/>
      <c r="U32" s="479"/>
      <c r="V32" s="117"/>
      <c r="W32" s="112"/>
      <c r="X32" s="112"/>
      <c r="Y32" s="115"/>
      <c r="Z32" s="57">
        <v>9</v>
      </c>
      <c r="AA32" s="112">
        <f>6770-325+30*Z32</f>
        <v>6715</v>
      </c>
      <c r="AB32" s="112" t="s">
        <v>106</v>
      </c>
      <c r="AC32" s="479">
        <f>6770+15+30*Z32</f>
        <v>7055</v>
      </c>
      <c r="AD32" s="117"/>
      <c r="AE32" s="112"/>
      <c r="AF32" s="119"/>
      <c r="AG32" s="115"/>
      <c r="AH32" s="459"/>
    </row>
    <row r="33" spans="1:34" x14ac:dyDescent="0.25">
      <c r="A33" s="111">
        <v>29</v>
      </c>
      <c r="B33" s="112">
        <f t="shared" si="0"/>
        <v>6551.75</v>
      </c>
      <c r="C33" s="112" t="s">
        <v>106</v>
      </c>
      <c r="D33" s="113">
        <f t="shared" si="1"/>
        <v>6891.75</v>
      </c>
      <c r="E33" s="118"/>
      <c r="F33" s="112"/>
      <c r="G33" s="112"/>
      <c r="H33" s="115"/>
      <c r="I33" s="53"/>
      <c r="J33" s="112"/>
      <c r="K33" s="112"/>
      <c r="L33" s="115"/>
      <c r="M33" s="116"/>
      <c r="N33" s="111">
        <v>15</v>
      </c>
      <c r="O33" s="112">
        <f t="shared" ref="O33" si="92">6770-350+20*N33</f>
        <v>6720</v>
      </c>
      <c r="P33" s="112" t="s">
        <v>106</v>
      </c>
      <c r="Q33" s="115">
        <f t="shared" ref="Q33" si="93">6770-10+20*N33</f>
        <v>7060</v>
      </c>
      <c r="R33" s="57"/>
      <c r="S33" s="58"/>
      <c r="T33" s="55"/>
      <c r="U33" s="480"/>
      <c r="V33" s="117"/>
      <c r="W33" s="58"/>
      <c r="X33" s="55"/>
      <c r="Y33" s="56"/>
      <c r="Z33" s="57"/>
      <c r="AA33" s="58"/>
      <c r="AB33" s="112"/>
      <c r="AC33" s="480"/>
      <c r="AD33" s="117">
        <v>7</v>
      </c>
      <c r="AE33" s="58">
        <f>6770-330+40*AD33</f>
        <v>6720</v>
      </c>
      <c r="AF33" s="112" t="s">
        <v>106</v>
      </c>
      <c r="AG33" s="56">
        <f>6770+10+40*AD33</f>
        <v>7060</v>
      </c>
      <c r="AH33" s="459"/>
    </row>
    <row r="34" spans="1:34" x14ac:dyDescent="0.25">
      <c r="A34" s="111">
        <v>30</v>
      </c>
      <c r="B34" s="112">
        <f t="shared" si="0"/>
        <v>6555.25</v>
      </c>
      <c r="C34" s="112" t="s">
        <v>106</v>
      </c>
      <c r="D34" s="113">
        <f t="shared" si="1"/>
        <v>6895.25</v>
      </c>
      <c r="E34" s="114">
        <v>15</v>
      </c>
      <c r="F34" s="112">
        <f t="shared" ref="F34" si="94">6770-340+12.5+E34*7+2*INT((E34-1)/4)</f>
        <v>6553.5</v>
      </c>
      <c r="G34" s="112" t="s">
        <v>106</v>
      </c>
      <c r="H34" s="115">
        <f t="shared" ref="H34" si="95">6770+12.5+E34*7+2*INT((E34-1)/4)</f>
        <v>6893.5</v>
      </c>
      <c r="I34" s="53"/>
      <c r="J34" s="112"/>
      <c r="K34" s="112"/>
      <c r="L34" s="115"/>
      <c r="M34" s="116"/>
      <c r="N34" s="111"/>
      <c r="O34" s="112"/>
      <c r="P34" s="112"/>
      <c r="Q34" s="115"/>
      <c r="R34" s="57">
        <v>10</v>
      </c>
      <c r="S34" s="112">
        <f t="shared" ref="S34" si="96">6770-340+30*R34</f>
        <v>6730</v>
      </c>
      <c r="T34" s="112" t="s">
        <v>106</v>
      </c>
      <c r="U34" s="479">
        <f t="shared" ref="U34" si="97">6770+30*R34</f>
        <v>7070</v>
      </c>
      <c r="V34" s="117"/>
      <c r="W34" s="112"/>
      <c r="X34" s="119"/>
      <c r="Y34" s="478"/>
      <c r="Z34" s="57"/>
      <c r="AA34" s="112"/>
      <c r="AB34" s="55"/>
      <c r="AC34" s="479"/>
      <c r="AD34" s="117"/>
      <c r="AE34" s="112"/>
      <c r="AF34" s="112"/>
      <c r="AG34" s="478"/>
      <c r="AH34" s="459"/>
    </row>
    <row r="35" spans="1:34" x14ac:dyDescent="0.25">
      <c r="A35" s="111">
        <v>31</v>
      </c>
      <c r="B35" s="112">
        <f t="shared" si="0"/>
        <v>6558.75</v>
      </c>
      <c r="C35" s="112" t="s">
        <v>106</v>
      </c>
      <c r="D35" s="113">
        <f t="shared" si="1"/>
        <v>6898.75</v>
      </c>
      <c r="E35" s="118"/>
      <c r="F35" s="112"/>
      <c r="G35" s="112"/>
      <c r="H35" s="115"/>
      <c r="I35" s="53">
        <v>8</v>
      </c>
      <c r="J35" s="112">
        <f t="shared" ref="J35" si="98">6770-340+9+I35*14+2*INT((I35-1)/2)</f>
        <v>6557</v>
      </c>
      <c r="K35" s="112" t="s">
        <v>106</v>
      </c>
      <c r="L35" s="115">
        <f t="shared" ref="L35" si="99">6770+9+I35*14+2*INT((I35-1)/2)</f>
        <v>6897</v>
      </c>
      <c r="M35" s="116"/>
      <c r="N35" s="111">
        <v>16</v>
      </c>
      <c r="O35" s="112">
        <f t="shared" ref="O35" si="100">6770-350+20*N35</f>
        <v>6740</v>
      </c>
      <c r="P35" s="112" t="s">
        <v>106</v>
      </c>
      <c r="Q35" s="115">
        <f t="shared" ref="Q35" si="101">6770-10+20*N35</f>
        <v>7080</v>
      </c>
      <c r="R35" s="57"/>
      <c r="S35" s="112"/>
      <c r="T35" s="112"/>
      <c r="U35" s="479"/>
      <c r="V35" s="117">
        <v>8</v>
      </c>
      <c r="W35" s="112">
        <f t="shared" ref="W35" si="102">6770-350+40*V35</f>
        <v>6740</v>
      </c>
      <c r="X35" s="112" t="s">
        <v>106</v>
      </c>
      <c r="Y35" s="115">
        <f t="shared" ref="Y35" si="103">6770-10+40*V35</f>
        <v>7080</v>
      </c>
      <c r="Z35" s="57">
        <v>10</v>
      </c>
      <c r="AA35" s="112">
        <f>6770-325+30*Z35</f>
        <v>6745</v>
      </c>
      <c r="AB35" s="112" t="s">
        <v>106</v>
      </c>
      <c r="AC35" s="479">
        <f>6770+15+30*Z35</f>
        <v>7085</v>
      </c>
      <c r="AD35" s="117"/>
      <c r="AE35" s="112"/>
      <c r="AF35" s="55"/>
      <c r="AG35" s="115"/>
      <c r="AH35" s="459"/>
    </row>
    <row r="36" spans="1:34" x14ac:dyDescent="0.25">
      <c r="A36" s="111">
        <v>32</v>
      </c>
      <c r="B36" s="112">
        <f t="shared" si="0"/>
        <v>6562.25</v>
      </c>
      <c r="C36" s="112" t="s">
        <v>106</v>
      </c>
      <c r="D36" s="113">
        <f t="shared" si="1"/>
        <v>6902.25</v>
      </c>
      <c r="E36" s="114">
        <v>16</v>
      </c>
      <c r="F36" s="112">
        <f t="shared" ref="F36" si="104">6770-340+12.5+E36*7+2*INT((E36-1)/4)</f>
        <v>6560.5</v>
      </c>
      <c r="G36" s="112" t="s">
        <v>106</v>
      </c>
      <c r="H36" s="115">
        <f t="shared" ref="H36" si="105">6770+12.5+E36*7+2*INT((E36-1)/4)</f>
        <v>6900.5</v>
      </c>
      <c r="I36" s="53"/>
      <c r="J36" s="112"/>
      <c r="K36" s="112"/>
      <c r="L36" s="115"/>
      <c r="M36" s="116"/>
      <c r="N36" s="111"/>
      <c r="O36" s="112"/>
      <c r="P36" s="112"/>
      <c r="Q36" s="115"/>
      <c r="R36" s="57"/>
      <c r="S36" s="58"/>
      <c r="T36" s="55"/>
      <c r="U36" s="480"/>
      <c r="V36" s="117"/>
      <c r="W36" s="112"/>
      <c r="X36" s="112"/>
      <c r="Y36" s="115"/>
      <c r="Z36" s="57"/>
      <c r="AA36" s="58"/>
      <c r="AB36" s="55"/>
      <c r="AC36" s="480"/>
      <c r="AD36" s="117"/>
      <c r="AE36" s="112"/>
      <c r="AF36" s="119"/>
      <c r="AG36" s="115"/>
      <c r="AH36" s="459"/>
    </row>
    <row r="37" spans="1:34" x14ac:dyDescent="0.25">
      <c r="A37" s="111">
        <v>33</v>
      </c>
      <c r="B37" s="112">
        <f t="shared" si="0"/>
        <v>6567.75</v>
      </c>
      <c r="C37" s="112" t="s">
        <v>106</v>
      </c>
      <c r="D37" s="113">
        <f t="shared" si="1"/>
        <v>6907.75</v>
      </c>
      <c r="E37" s="118"/>
      <c r="F37" s="112"/>
      <c r="G37" s="112"/>
      <c r="H37" s="115"/>
      <c r="I37" s="53"/>
      <c r="J37" s="112"/>
      <c r="K37" s="112"/>
      <c r="L37" s="115"/>
      <c r="M37" s="116"/>
      <c r="N37" s="53"/>
      <c r="O37" s="112"/>
      <c r="P37" s="112"/>
      <c r="Q37" s="115"/>
      <c r="R37" s="57">
        <v>11</v>
      </c>
      <c r="S37" s="112">
        <f t="shared" ref="S37" si="106">6770-340+30*R37</f>
        <v>6760</v>
      </c>
      <c r="T37" s="112" t="s">
        <v>106</v>
      </c>
      <c r="U37" s="479">
        <f t="shared" ref="U37" si="107">6770+30*R37</f>
        <v>7100</v>
      </c>
      <c r="V37" s="117"/>
      <c r="W37" s="58"/>
      <c r="X37" s="55"/>
      <c r="Y37" s="56"/>
      <c r="Z37" s="57"/>
      <c r="AA37" s="112"/>
      <c r="AB37" s="112"/>
      <c r="AC37" s="479"/>
      <c r="AD37" s="117"/>
      <c r="AE37" s="58"/>
      <c r="AF37" s="112"/>
      <c r="AG37" s="56"/>
      <c r="AH37" s="459"/>
    </row>
    <row r="38" spans="1:34" ht="15.75" thickBot="1" x14ac:dyDescent="0.3">
      <c r="A38" s="111">
        <v>34</v>
      </c>
      <c r="B38" s="112">
        <f t="shared" si="0"/>
        <v>6571.25</v>
      </c>
      <c r="C38" s="112" t="s">
        <v>106</v>
      </c>
      <c r="D38" s="113">
        <f t="shared" si="1"/>
        <v>6911.25</v>
      </c>
      <c r="E38" s="114">
        <v>17</v>
      </c>
      <c r="F38" s="112">
        <f t="shared" ref="F38" si="108">6770-340+12.5+E38*7+2*INT((E38-1)/4)</f>
        <v>6569.5</v>
      </c>
      <c r="G38" s="112" t="s">
        <v>106</v>
      </c>
      <c r="H38" s="115">
        <f t="shared" ref="H38" si="109">6770+12.5+E38*7+2*INT((E38-1)/4)</f>
        <v>6909.5</v>
      </c>
      <c r="I38" s="53"/>
      <c r="J38" s="112"/>
      <c r="K38" s="112"/>
      <c r="L38" s="115"/>
      <c r="M38" s="116"/>
      <c r="N38" s="120"/>
      <c r="O38" s="121"/>
      <c r="P38" s="121"/>
      <c r="Q38" s="122"/>
      <c r="R38" s="466"/>
      <c r="S38" s="462"/>
      <c r="T38" s="462"/>
      <c r="U38" s="467"/>
      <c r="V38" s="468"/>
      <c r="W38" s="462"/>
      <c r="X38" s="462"/>
      <c r="Y38" s="464"/>
      <c r="Z38" s="466"/>
      <c r="AA38" s="462"/>
      <c r="AB38" s="462"/>
      <c r="AC38" s="467"/>
      <c r="AD38" s="481"/>
      <c r="AE38" s="462"/>
      <c r="AF38" s="462"/>
      <c r="AG38" s="464"/>
      <c r="AH38" s="469"/>
    </row>
    <row r="39" spans="1:34" x14ac:dyDescent="0.25">
      <c r="A39" s="111">
        <v>35</v>
      </c>
      <c r="B39" s="112">
        <f t="shared" si="0"/>
        <v>6574.75</v>
      </c>
      <c r="C39" s="112" t="s">
        <v>106</v>
      </c>
      <c r="D39" s="113">
        <f t="shared" si="1"/>
        <v>6914.75</v>
      </c>
      <c r="E39" s="118"/>
      <c r="F39" s="112"/>
      <c r="G39" s="112"/>
      <c r="H39" s="115"/>
      <c r="I39" s="53">
        <v>9</v>
      </c>
      <c r="J39" s="112">
        <f t="shared" ref="J39" si="110">6770-340+9+I39*14+2*INT((I39-1)/2)</f>
        <v>6573</v>
      </c>
      <c r="K39" s="112" t="s">
        <v>106</v>
      </c>
      <c r="L39" s="115">
        <f t="shared" ref="L39" si="111">6770+9+I39*14+2*INT((I39-1)/2)</f>
        <v>6913</v>
      </c>
      <c r="M39" s="116"/>
      <c r="N39" s="51"/>
      <c r="O39" s="51"/>
      <c r="P39" s="51"/>
      <c r="Q39" s="51"/>
    </row>
    <row r="40" spans="1:34" x14ac:dyDescent="0.25">
      <c r="A40" s="111">
        <v>36</v>
      </c>
      <c r="B40" s="112">
        <f t="shared" si="0"/>
        <v>6578.25</v>
      </c>
      <c r="C40" s="112" t="s">
        <v>106</v>
      </c>
      <c r="D40" s="113">
        <f t="shared" si="1"/>
        <v>6918.25</v>
      </c>
      <c r="E40" s="114">
        <v>18</v>
      </c>
      <c r="F40" s="112">
        <f t="shared" ref="F40" si="112">6770-340+12.5+E40*7+2*INT((E40-1)/4)</f>
        <v>6576.5</v>
      </c>
      <c r="G40" s="112" t="s">
        <v>106</v>
      </c>
      <c r="H40" s="115">
        <f t="shared" ref="H40" si="113">6770+12.5+E40*7+2*INT((E40-1)/4)</f>
        <v>6916.5</v>
      </c>
      <c r="I40" s="53"/>
      <c r="J40" s="112"/>
      <c r="K40" s="112"/>
      <c r="L40" s="115"/>
      <c r="M40" s="116"/>
      <c r="N40" s="51"/>
      <c r="O40" s="51"/>
      <c r="P40" s="51"/>
      <c r="Q40" s="51"/>
    </row>
    <row r="41" spans="1:34" x14ac:dyDescent="0.25">
      <c r="A41" s="111">
        <v>37</v>
      </c>
      <c r="B41" s="112">
        <f t="shared" si="0"/>
        <v>6581.75</v>
      </c>
      <c r="C41" s="112" t="s">
        <v>106</v>
      </c>
      <c r="D41" s="113">
        <f t="shared" si="1"/>
        <v>6921.75</v>
      </c>
      <c r="E41" s="118"/>
      <c r="F41" s="112"/>
      <c r="G41" s="112"/>
      <c r="H41" s="115"/>
      <c r="I41" s="53"/>
      <c r="J41" s="112"/>
      <c r="K41" s="112"/>
      <c r="L41" s="115"/>
      <c r="M41" s="116"/>
      <c r="N41" s="51"/>
      <c r="O41" s="51"/>
      <c r="P41" s="51"/>
      <c r="Q41" s="51"/>
    </row>
    <row r="42" spans="1:34" x14ac:dyDescent="0.25">
      <c r="A42" s="111">
        <v>38</v>
      </c>
      <c r="B42" s="112">
        <f t="shared" si="0"/>
        <v>6585.25</v>
      </c>
      <c r="C42" s="112" t="s">
        <v>106</v>
      </c>
      <c r="D42" s="113">
        <f t="shared" si="1"/>
        <v>6925.25</v>
      </c>
      <c r="E42" s="114">
        <v>19</v>
      </c>
      <c r="F42" s="112">
        <f t="shared" ref="F42" si="114">6770-340+12.5+E42*7+2*INT((E42-1)/4)</f>
        <v>6583.5</v>
      </c>
      <c r="G42" s="112" t="s">
        <v>106</v>
      </c>
      <c r="H42" s="115">
        <f t="shared" ref="H42" si="115">6770+12.5+E42*7+2*INT((E42-1)/4)</f>
        <v>6923.5</v>
      </c>
      <c r="I42" s="53"/>
      <c r="J42" s="112"/>
      <c r="K42" s="112"/>
      <c r="L42" s="115"/>
      <c r="M42" s="116"/>
      <c r="N42" s="51"/>
      <c r="O42" s="51"/>
      <c r="P42" s="51"/>
      <c r="Q42" s="51"/>
    </row>
    <row r="43" spans="1:34" x14ac:dyDescent="0.25">
      <c r="A43" s="111">
        <v>39</v>
      </c>
      <c r="B43" s="112">
        <f t="shared" si="0"/>
        <v>6588.75</v>
      </c>
      <c r="C43" s="112" t="s">
        <v>106</v>
      </c>
      <c r="D43" s="113">
        <f t="shared" si="1"/>
        <v>6928.75</v>
      </c>
      <c r="E43" s="118"/>
      <c r="F43" s="112"/>
      <c r="G43" s="112"/>
      <c r="H43" s="115"/>
      <c r="I43" s="53">
        <v>10</v>
      </c>
      <c r="J43" s="112">
        <f t="shared" ref="J43" si="116">6770-340+9+I43*14+2*INT((I43-1)/2)</f>
        <v>6587</v>
      </c>
      <c r="K43" s="112" t="s">
        <v>106</v>
      </c>
      <c r="L43" s="115">
        <f t="shared" ref="L43" si="117">6770+9+I43*14+2*INT((I43-1)/2)</f>
        <v>6927</v>
      </c>
      <c r="M43" s="116"/>
      <c r="N43" s="51"/>
      <c r="O43" s="51"/>
      <c r="P43" s="51"/>
      <c r="Q43" s="51"/>
    </row>
    <row r="44" spans="1:34" x14ac:dyDescent="0.25">
      <c r="A44" s="111">
        <v>40</v>
      </c>
      <c r="B44" s="112">
        <f t="shared" si="0"/>
        <v>6592.25</v>
      </c>
      <c r="C44" s="112" t="s">
        <v>106</v>
      </c>
      <c r="D44" s="113">
        <f t="shared" si="1"/>
        <v>6932.25</v>
      </c>
      <c r="E44" s="114">
        <v>20</v>
      </c>
      <c r="F44" s="112">
        <f t="shared" ref="F44" si="118">6770-340+12.5+E44*7+2*INT((E44-1)/4)</f>
        <v>6590.5</v>
      </c>
      <c r="G44" s="112" t="s">
        <v>106</v>
      </c>
      <c r="H44" s="115">
        <f t="shared" ref="H44" si="119">6770+12.5+E44*7+2*INT((E44-1)/4)</f>
        <v>6930.5</v>
      </c>
      <c r="I44" s="53"/>
      <c r="J44" s="112"/>
      <c r="K44" s="112"/>
      <c r="L44" s="115"/>
      <c r="M44" s="116"/>
      <c r="N44" s="51"/>
      <c r="O44" s="51"/>
      <c r="P44" s="51"/>
      <c r="Q44" s="51"/>
    </row>
    <row r="45" spans="1:34" x14ac:dyDescent="0.25">
      <c r="A45" s="111">
        <v>41</v>
      </c>
      <c r="B45" s="112">
        <f t="shared" si="0"/>
        <v>6597.75</v>
      </c>
      <c r="C45" s="112" t="s">
        <v>106</v>
      </c>
      <c r="D45" s="113">
        <f t="shared" si="1"/>
        <v>6937.75</v>
      </c>
      <c r="E45" s="118"/>
      <c r="F45" s="112"/>
      <c r="G45" s="112"/>
      <c r="H45" s="115"/>
      <c r="I45" s="53"/>
      <c r="J45" s="112"/>
      <c r="K45" s="112"/>
      <c r="L45" s="115"/>
      <c r="M45" s="116"/>
      <c r="N45" s="51"/>
      <c r="O45" s="51"/>
      <c r="P45" s="51"/>
      <c r="Q45" s="51"/>
    </row>
    <row r="46" spans="1:34" x14ac:dyDescent="0.25">
      <c r="A46" s="111">
        <v>42</v>
      </c>
      <c r="B46" s="112">
        <f t="shared" si="0"/>
        <v>6601.25</v>
      </c>
      <c r="C46" s="112" t="s">
        <v>106</v>
      </c>
      <c r="D46" s="113">
        <f t="shared" si="1"/>
        <v>6941.25</v>
      </c>
      <c r="E46" s="114">
        <v>21</v>
      </c>
      <c r="F46" s="112">
        <f t="shared" ref="F46" si="120">6770-340+12.5+E46*7+2*INT((E46-1)/4)</f>
        <v>6599.5</v>
      </c>
      <c r="G46" s="112" t="s">
        <v>106</v>
      </c>
      <c r="H46" s="115">
        <f t="shared" ref="H46" si="121">6770+12.5+E46*7+2*INT((E46-1)/4)</f>
        <v>6939.5</v>
      </c>
      <c r="I46" s="53"/>
      <c r="J46" s="112"/>
      <c r="K46" s="112"/>
      <c r="L46" s="115"/>
      <c r="M46" s="116"/>
      <c r="N46" s="51"/>
      <c r="O46" s="51"/>
      <c r="P46" s="51"/>
      <c r="Q46" s="51"/>
    </row>
    <row r="47" spans="1:34" x14ac:dyDescent="0.25">
      <c r="A47" s="111">
        <v>43</v>
      </c>
      <c r="B47" s="112">
        <f t="shared" si="0"/>
        <v>6604.75</v>
      </c>
      <c r="C47" s="112" t="s">
        <v>106</v>
      </c>
      <c r="D47" s="113">
        <f t="shared" si="1"/>
        <v>6944.75</v>
      </c>
      <c r="E47" s="118"/>
      <c r="F47" s="112"/>
      <c r="G47" s="112"/>
      <c r="H47" s="115"/>
      <c r="I47" s="53">
        <v>11</v>
      </c>
      <c r="J47" s="112">
        <f t="shared" ref="J47" si="122">6770-340+9+I47*14+2*INT((I47-1)/2)</f>
        <v>6603</v>
      </c>
      <c r="K47" s="112" t="s">
        <v>106</v>
      </c>
      <c r="L47" s="115">
        <f t="shared" ref="L47" si="123">6770+9+I47*14+2*INT((I47-1)/2)</f>
        <v>6943</v>
      </c>
      <c r="M47" s="116"/>
      <c r="N47" s="51"/>
      <c r="O47" s="51"/>
      <c r="P47" s="51"/>
      <c r="Q47" s="51"/>
    </row>
    <row r="48" spans="1:34" x14ac:dyDescent="0.25">
      <c r="A48" s="111">
        <v>44</v>
      </c>
      <c r="B48" s="112">
        <f t="shared" si="0"/>
        <v>6608.25</v>
      </c>
      <c r="C48" s="112" t="s">
        <v>106</v>
      </c>
      <c r="D48" s="113">
        <f t="shared" si="1"/>
        <v>6948.25</v>
      </c>
      <c r="E48" s="114">
        <v>22</v>
      </c>
      <c r="F48" s="112">
        <f t="shared" ref="F48" si="124">6770-340+12.5+E48*7+2*INT((E48-1)/4)</f>
        <v>6606.5</v>
      </c>
      <c r="G48" s="112" t="s">
        <v>106</v>
      </c>
      <c r="H48" s="115">
        <f t="shared" ref="H48" si="125">6770+12.5+E48*7+2*INT((E48-1)/4)</f>
        <v>6946.5</v>
      </c>
      <c r="I48" s="53"/>
      <c r="J48" s="112"/>
      <c r="K48" s="112"/>
      <c r="L48" s="115"/>
      <c r="M48" s="116"/>
      <c r="N48" s="51"/>
      <c r="O48" s="51"/>
      <c r="P48" s="51"/>
      <c r="Q48" s="51"/>
    </row>
    <row r="49" spans="1:17" x14ac:dyDescent="0.25">
      <c r="A49" s="111">
        <v>45</v>
      </c>
      <c r="B49" s="112">
        <f t="shared" si="0"/>
        <v>6611.75</v>
      </c>
      <c r="C49" s="112" t="s">
        <v>106</v>
      </c>
      <c r="D49" s="113">
        <f t="shared" si="1"/>
        <v>6951.75</v>
      </c>
      <c r="E49" s="118"/>
      <c r="F49" s="112"/>
      <c r="G49" s="112"/>
      <c r="H49" s="115"/>
      <c r="I49" s="53"/>
      <c r="J49" s="112"/>
      <c r="K49" s="112"/>
      <c r="L49" s="115"/>
      <c r="M49" s="116"/>
      <c r="N49" s="51"/>
      <c r="O49" s="51"/>
      <c r="P49" s="51"/>
      <c r="Q49" s="51"/>
    </row>
    <row r="50" spans="1:17" x14ac:dyDescent="0.25">
      <c r="A50" s="111">
        <v>46</v>
      </c>
      <c r="B50" s="112">
        <f t="shared" si="0"/>
        <v>6615.25</v>
      </c>
      <c r="C50" s="112" t="s">
        <v>106</v>
      </c>
      <c r="D50" s="113">
        <f t="shared" si="1"/>
        <v>6955.25</v>
      </c>
      <c r="E50" s="114">
        <v>23</v>
      </c>
      <c r="F50" s="112">
        <f t="shared" ref="F50" si="126">6770-340+12.5+E50*7+2*INT((E50-1)/4)</f>
        <v>6613.5</v>
      </c>
      <c r="G50" s="112" t="s">
        <v>106</v>
      </c>
      <c r="H50" s="115">
        <f t="shared" ref="H50" si="127">6770+12.5+E50*7+2*INT((E50-1)/4)</f>
        <v>6953.5</v>
      </c>
      <c r="I50" s="53"/>
      <c r="J50" s="112"/>
      <c r="K50" s="112"/>
      <c r="L50" s="115"/>
      <c r="M50" s="116"/>
      <c r="N50" s="51"/>
      <c r="O50" s="51"/>
      <c r="P50" s="51"/>
      <c r="Q50" s="51"/>
    </row>
    <row r="51" spans="1:17" x14ac:dyDescent="0.25">
      <c r="A51" s="111">
        <v>47</v>
      </c>
      <c r="B51" s="112">
        <f t="shared" si="0"/>
        <v>6618.75</v>
      </c>
      <c r="C51" s="112" t="s">
        <v>106</v>
      </c>
      <c r="D51" s="113">
        <f t="shared" si="1"/>
        <v>6958.75</v>
      </c>
      <c r="E51" s="118"/>
      <c r="F51" s="112"/>
      <c r="G51" s="112"/>
      <c r="H51" s="115"/>
      <c r="I51" s="53">
        <v>12</v>
      </c>
      <c r="J51" s="112">
        <f t="shared" ref="J51" si="128">6770-340+9+I51*14+2*INT((I51-1)/2)</f>
        <v>6617</v>
      </c>
      <c r="K51" s="112" t="s">
        <v>106</v>
      </c>
      <c r="L51" s="115">
        <f t="shared" ref="L51" si="129">6770+9+I51*14+2*INT((I51-1)/2)</f>
        <v>6957</v>
      </c>
      <c r="M51" s="116"/>
      <c r="N51" s="51"/>
      <c r="O51" s="51"/>
      <c r="P51" s="51"/>
      <c r="Q51" s="51"/>
    </row>
    <row r="52" spans="1:17" x14ac:dyDescent="0.25">
      <c r="A52" s="111">
        <v>48</v>
      </c>
      <c r="B52" s="112">
        <f t="shared" si="0"/>
        <v>6622.25</v>
      </c>
      <c r="C52" s="112" t="s">
        <v>106</v>
      </c>
      <c r="D52" s="113">
        <f t="shared" si="1"/>
        <v>6962.25</v>
      </c>
      <c r="E52" s="114">
        <v>24</v>
      </c>
      <c r="F52" s="112">
        <f t="shared" ref="F52" si="130">6770-340+12.5+E52*7+2*INT((E52-1)/4)</f>
        <v>6620.5</v>
      </c>
      <c r="G52" s="112" t="s">
        <v>106</v>
      </c>
      <c r="H52" s="115">
        <f t="shared" ref="H52" si="131">6770+12.5+E52*7+2*INT((E52-1)/4)</f>
        <v>6960.5</v>
      </c>
      <c r="I52" s="53"/>
      <c r="J52" s="112"/>
      <c r="K52" s="112"/>
      <c r="L52" s="115"/>
      <c r="M52" s="116"/>
      <c r="N52" s="51"/>
      <c r="O52" s="51"/>
      <c r="P52" s="51"/>
      <c r="Q52" s="51"/>
    </row>
    <row r="53" spans="1:17" x14ac:dyDescent="0.25">
      <c r="A53" s="111">
        <v>49</v>
      </c>
      <c r="B53" s="112">
        <f t="shared" si="0"/>
        <v>6627.75</v>
      </c>
      <c r="C53" s="112" t="s">
        <v>106</v>
      </c>
      <c r="D53" s="113">
        <f t="shared" si="1"/>
        <v>6967.75</v>
      </c>
      <c r="E53" s="118"/>
      <c r="F53" s="112"/>
      <c r="G53" s="112"/>
      <c r="H53" s="115"/>
      <c r="I53" s="53"/>
      <c r="J53" s="112"/>
      <c r="K53" s="112"/>
      <c r="L53" s="115"/>
      <c r="M53" s="116"/>
      <c r="N53" s="51"/>
      <c r="O53" s="51"/>
      <c r="P53" s="51"/>
      <c r="Q53" s="51"/>
    </row>
    <row r="54" spans="1:17" x14ac:dyDescent="0.25">
      <c r="A54" s="111">
        <v>50</v>
      </c>
      <c r="B54" s="112">
        <f t="shared" si="0"/>
        <v>6631.25</v>
      </c>
      <c r="C54" s="112" t="s">
        <v>106</v>
      </c>
      <c r="D54" s="113">
        <f t="shared" si="1"/>
        <v>6971.25</v>
      </c>
      <c r="E54" s="114">
        <v>25</v>
      </c>
      <c r="F54" s="112">
        <f t="shared" ref="F54" si="132">6770-340+12.5+E54*7+2*INT((E54-1)/4)</f>
        <v>6629.5</v>
      </c>
      <c r="G54" s="112" t="s">
        <v>106</v>
      </c>
      <c r="H54" s="115">
        <f t="shared" ref="H54" si="133">6770+12.5+E54*7+2*INT((E54-1)/4)</f>
        <v>6969.5</v>
      </c>
      <c r="I54" s="53"/>
      <c r="J54" s="112"/>
      <c r="K54" s="112"/>
      <c r="L54" s="115"/>
      <c r="M54" s="116"/>
      <c r="N54" s="51"/>
      <c r="O54" s="51"/>
      <c r="P54" s="51"/>
      <c r="Q54" s="51"/>
    </row>
    <row r="55" spans="1:17" x14ac:dyDescent="0.25">
      <c r="A55" s="111">
        <v>51</v>
      </c>
      <c r="B55" s="112">
        <f t="shared" si="0"/>
        <v>6634.75</v>
      </c>
      <c r="C55" s="112" t="s">
        <v>106</v>
      </c>
      <c r="D55" s="113">
        <f t="shared" si="1"/>
        <v>6974.75</v>
      </c>
      <c r="E55" s="118"/>
      <c r="F55" s="112"/>
      <c r="G55" s="112"/>
      <c r="H55" s="115"/>
      <c r="I55" s="53">
        <v>13</v>
      </c>
      <c r="J55" s="112">
        <f t="shared" ref="J55" si="134">6770-340+9+I55*14+2*INT((I55-1)/2)</f>
        <v>6633</v>
      </c>
      <c r="K55" s="112" t="s">
        <v>106</v>
      </c>
      <c r="L55" s="115">
        <f t="shared" ref="L55" si="135">6770+9+I55*14+2*INT((I55-1)/2)</f>
        <v>6973</v>
      </c>
      <c r="M55" s="116"/>
      <c r="N55" s="51"/>
      <c r="O55" s="51"/>
      <c r="P55" s="51"/>
      <c r="Q55" s="51"/>
    </row>
    <row r="56" spans="1:17" x14ac:dyDescent="0.25">
      <c r="A56" s="111">
        <v>52</v>
      </c>
      <c r="B56" s="112">
        <f t="shared" si="0"/>
        <v>6638.25</v>
      </c>
      <c r="C56" s="112" t="s">
        <v>106</v>
      </c>
      <c r="D56" s="113">
        <f t="shared" si="1"/>
        <v>6978.25</v>
      </c>
      <c r="E56" s="114">
        <v>26</v>
      </c>
      <c r="F56" s="112">
        <f t="shared" ref="F56" si="136">6770-340+12.5+E56*7+2*INT((E56-1)/4)</f>
        <v>6636.5</v>
      </c>
      <c r="G56" s="112" t="s">
        <v>106</v>
      </c>
      <c r="H56" s="115">
        <f t="shared" ref="H56" si="137">6770+12.5+E56*7+2*INT((E56-1)/4)</f>
        <v>6976.5</v>
      </c>
      <c r="I56" s="53"/>
      <c r="J56" s="112"/>
      <c r="K56" s="112"/>
      <c r="L56" s="115"/>
      <c r="M56" s="116"/>
      <c r="N56" s="51"/>
      <c r="O56" s="51"/>
      <c r="P56" s="51"/>
      <c r="Q56" s="51"/>
    </row>
    <row r="57" spans="1:17" x14ac:dyDescent="0.25">
      <c r="A57" s="111">
        <v>53</v>
      </c>
      <c r="B57" s="112">
        <f t="shared" si="0"/>
        <v>6641.75</v>
      </c>
      <c r="C57" s="112" t="s">
        <v>106</v>
      </c>
      <c r="D57" s="113">
        <f t="shared" si="1"/>
        <v>6981.75</v>
      </c>
      <c r="E57" s="118"/>
      <c r="F57" s="112"/>
      <c r="G57" s="112"/>
      <c r="H57" s="115"/>
      <c r="I57" s="53"/>
      <c r="J57" s="112"/>
      <c r="K57" s="112"/>
      <c r="L57" s="115"/>
      <c r="M57" s="116"/>
      <c r="N57" s="51"/>
      <c r="O57" s="51"/>
      <c r="P57" s="51"/>
      <c r="Q57" s="51"/>
    </row>
    <row r="58" spans="1:17" x14ac:dyDescent="0.25">
      <c r="A58" s="111">
        <v>54</v>
      </c>
      <c r="B58" s="112">
        <f t="shared" si="0"/>
        <v>6645.25</v>
      </c>
      <c r="C58" s="112" t="s">
        <v>106</v>
      </c>
      <c r="D58" s="113">
        <f t="shared" si="1"/>
        <v>6985.25</v>
      </c>
      <c r="E58" s="114">
        <v>27</v>
      </c>
      <c r="F58" s="112">
        <f t="shared" ref="F58" si="138">6770-340+12.5+E58*7+2*INT((E58-1)/4)</f>
        <v>6643.5</v>
      </c>
      <c r="G58" s="112" t="s">
        <v>106</v>
      </c>
      <c r="H58" s="115">
        <f t="shared" ref="H58" si="139">6770+12.5+E58*7+2*INT((E58-1)/4)</f>
        <v>6983.5</v>
      </c>
      <c r="I58" s="53"/>
      <c r="J58" s="112"/>
      <c r="K58" s="112"/>
      <c r="L58" s="115"/>
      <c r="M58" s="116"/>
      <c r="N58" s="51"/>
      <c r="O58" s="51"/>
      <c r="P58" s="51"/>
      <c r="Q58" s="51"/>
    </row>
    <row r="59" spans="1:17" x14ac:dyDescent="0.25">
      <c r="A59" s="111">
        <v>55</v>
      </c>
      <c r="B59" s="112">
        <f t="shared" si="0"/>
        <v>6648.75</v>
      </c>
      <c r="C59" s="112" t="s">
        <v>106</v>
      </c>
      <c r="D59" s="113">
        <f t="shared" si="1"/>
        <v>6988.75</v>
      </c>
      <c r="E59" s="118"/>
      <c r="F59" s="112"/>
      <c r="G59" s="112"/>
      <c r="H59" s="115"/>
      <c r="I59" s="53">
        <v>14</v>
      </c>
      <c r="J59" s="112">
        <f t="shared" ref="J59" si="140">6770-340+9+I59*14+2*INT((I59-1)/2)</f>
        <v>6647</v>
      </c>
      <c r="K59" s="112" t="s">
        <v>106</v>
      </c>
      <c r="L59" s="115">
        <f t="shared" ref="L59" si="141">6770+9+I59*14+2*INT((I59-1)/2)</f>
        <v>6987</v>
      </c>
      <c r="M59" s="116"/>
      <c r="N59" s="51"/>
      <c r="O59" s="51"/>
      <c r="P59" s="51"/>
      <c r="Q59" s="51"/>
    </row>
    <row r="60" spans="1:17" x14ac:dyDescent="0.25">
      <c r="A60" s="111">
        <v>56</v>
      </c>
      <c r="B60" s="112">
        <f t="shared" si="0"/>
        <v>6652.25</v>
      </c>
      <c r="C60" s="112" t="s">
        <v>106</v>
      </c>
      <c r="D60" s="113">
        <f t="shared" si="1"/>
        <v>6992.25</v>
      </c>
      <c r="E60" s="114">
        <v>28</v>
      </c>
      <c r="F60" s="112">
        <f t="shared" ref="F60" si="142">6770-340+12.5+E60*7+2*INT((E60-1)/4)</f>
        <v>6650.5</v>
      </c>
      <c r="G60" s="112" t="s">
        <v>106</v>
      </c>
      <c r="H60" s="115">
        <f t="shared" ref="H60" si="143">6770+12.5+E60*7+2*INT((E60-1)/4)</f>
        <v>6990.5</v>
      </c>
      <c r="I60" s="53"/>
      <c r="J60" s="112"/>
      <c r="K60" s="112"/>
      <c r="L60" s="115"/>
      <c r="M60" s="116"/>
      <c r="N60" s="51"/>
      <c r="O60" s="51"/>
      <c r="P60" s="51"/>
      <c r="Q60" s="51"/>
    </row>
    <row r="61" spans="1:17" x14ac:dyDescent="0.25">
      <c r="A61" s="111">
        <v>57</v>
      </c>
      <c r="B61" s="112">
        <f t="shared" si="0"/>
        <v>6657.75</v>
      </c>
      <c r="C61" s="112" t="s">
        <v>106</v>
      </c>
      <c r="D61" s="113">
        <f t="shared" si="1"/>
        <v>6997.75</v>
      </c>
      <c r="E61" s="118"/>
      <c r="F61" s="112"/>
      <c r="G61" s="112"/>
      <c r="H61" s="115"/>
      <c r="I61" s="53"/>
      <c r="J61" s="112"/>
      <c r="K61" s="112"/>
      <c r="L61" s="115"/>
      <c r="M61" s="116"/>
      <c r="N61" s="51"/>
      <c r="O61" s="51"/>
      <c r="P61" s="51"/>
      <c r="Q61" s="51"/>
    </row>
    <row r="62" spans="1:17" x14ac:dyDescent="0.25">
      <c r="A62" s="111">
        <v>58</v>
      </c>
      <c r="B62" s="112">
        <f t="shared" si="0"/>
        <v>6661.25</v>
      </c>
      <c r="C62" s="112" t="s">
        <v>106</v>
      </c>
      <c r="D62" s="113">
        <f t="shared" si="1"/>
        <v>7001.25</v>
      </c>
      <c r="E62" s="114">
        <v>29</v>
      </c>
      <c r="F62" s="112">
        <f t="shared" ref="F62" si="144">6770-340+12.5+E62*7+2*INT((E62-1)/4)</f>
        <v>6659.5</v>
      </c>
      <c r="G62" s="112" t="s">
        <v>106</v>
      </c>
      <c r="H62" s="115">
        <f t="shared" ref="H62" si="145">6770+12.5+E62*7+2*INT((E62-1)/4)</f>
        <v>6999.5</v>
      </c>
      <c r="I62" s="53"/>
      <c r="J62" s="112"/>
      <c r="K62" s="112"/>
      <c r="L62" s="115"/>
      <c r="M62" s="116"/>
      <c r="N62" s="51"/>
      <c r="O62" s="51"/>
      <c r="P62" s="51"/>
      <c r="Q62" s="51"/>
    </row>
    <row r="63" spans="1:17" x14ac:dyDescent="0.25">
      <c r="A63" s="111">
        <v>59</v>
      </c>
      <c r="B63" s="112">
        <f t="shared" si="0"/>
        <v>6664.75</v>
      </c>
      <c r="C63" s="112" t="s">
        <v>106</v>
      </c>
      <c r="D63" s="113">
        <f t="shared" si="1"/>
        <v>7004.75</v>
      </c>
      <c r="E63" s="118"/>
      <c r="F63" s="112"/>
      <c r="G63" s="112"/>
      <c r="H63" s="115"/>
      <c r="I63" s="53">
        <v>15</v>
      </c>
      <c r="J63" s="112">
        <f t="shared" ref="J63" si="146">6770-340+9+I63*14+2*INT((I63-1)/2)</f>
        <v>6663</v>
      </c>
      <c r="K63" s="112" t="s">
        <v>106</v>
      </c>
      <c r="L63" s="115">
        <f t="shared" ref="L63" si="147">6770+9+I63*14+2*INT((I63-1)/2)</f>
        <v>7003</v>
      </c>
      <c r="M63" s="116"/>
      <c r="N63" s="51"/>
      <c r="O63" s="51"/>
      <c r="P63" s="51"/>
      <c r="Q63" s="51"/>
    </row>
    <row r="64" spans="1:17" x14ac:dyDescent="0.25">
      <c r="A64" s="111">
        <v>60</v>
      </c>
      <c r="B64" s="112">
        <f t="shared" si="0"/>
        <v>6668.25</v>
      </c>
      <c r="C64" s="112" t="s">
        <v>106</v>
      </c>
      <c r="D64" s="113">
        <f t="shared" si="1"/>
        <v>7008.25</v>
      </c>
      <c r="E64" s="114">
        <v>30</v>
      </c>
      <c r="F64" s="112">
        <f t="shared" ref="F64" si="148">6770-340+12.5+E64*7+2*INT((E64-1)/4)</f>
        <v>6666.5</v>
      </c>
      <c r="G64" s="112" t="s">
        <v>106</v>
      </c>
      <c r="H64" s="115">
        <f t="shared" ref="H64" si="149">6770+12.5+E64*7+2*INT((E64-1)/4)</f>
        <v>7006.5</v>
      </c>
      <c r="I64" s="53"/>
      <c r="J64" s="112"/>
      <c r="K64" s="112"/>
      <c r="L64" s="115"/>
      <c r="M64" s="116"/>
      <c r="N64" s="51"/>
      <c r="O64" s="51"/>
      <c r="P64" s="51"/>
      <c r="Q64" s="51"/>
    </row>
    <row r="65" spans="1:17" x14ac:dyDescent="0.25">
      <c r="A65" s="111">
        <v>61</v>
      </c>
      <c r="B65" s="112">
        <f t="shared" si="0"/>
        <v>6671.75</v>
      </c>
      <c r="C65" s="112" t="s">
        <v>106</v>
      </c>
      <c r="D65" s="113">
        <f t="shared" si="1"/>
        <v>7011.75</v>
      </c>
      <c r="E65" s="118"/>
      <c r="F65" s="112"/>
      <c r="G65" s="112"/>
      <c r="H65" s="115"/>
      <c r="I65" s="53"/>
      <c r="J65" s="112"/>
      <c r="K65" s="112"/>
      <c r="L65" s="115"/>
      <c r="M65" s="116"/>
      <c r="N65" s="51"/>
      <c r="O65" s="51"/>
      <c r="P65" s="51"/>
      <c r="Q65" s="51"/>
    </row>
    <row r="66" spans="1:17" x14ac:dyDescent="0.25">
      <c r="A66" s="111">
        <v>62</v>
      </c>
      <c r="B66" s="112">
        <f t="shared" si="0"/>
        <v>6675.25</v>
      </c>
      <c r="C66" s="112" t="s">
        <v>106</v>
      </c>
      <c r="D66" s="113">
        <f t="shared" si="1"/>
        <v>7015.25</v>
      </c>
      <c r="E66" s="114">
        <v>31</v>
      </c>
      <c r="F66" s="112">
        <f t="shared" ref="F66" si="150">6770-340+12.5+E66*7+2*INT((E66-1)/4)</f>
        <v>6673.5</v>
      </c>
      <c r="G66" s="112" t="s">
        <v>106</v>
      </c>
      <c r="H66" s="115">
        <f t="shared" ref="H66" si="151">6770+12.5+E66*7+2*INT((E66-1)/4)</f>
        <v>7013.5</v>
      </c>
      <c r="I66" s="53"/>
      <c r="J66" s="112"/>
      <c r="K66" s="112"/>
      <c r="L66" s="115"/>
      <c r="M66" s="116"/>
      <c r="N66" s="51"/>
      <c r="O66" s="51"/>
      <c r="P66" s="51"/>
      <c r="Q66" s="51"/>
    </row>
    <row r="67" spans="1:17" x14ac:dyDescent="0.25">
      <c r="A67" s="111">
        <v>63</v>
      </c>
      <c r="B67" s="112">
        <f t="shared" si="0"/>
        <v>6678.75</v>
      </c>
      <c r="C67" s="112" t="s">
        <v>106</v>
      </c>
      <c r="D67" s="113">
        <f t="shared" si="1"/>
        <v>7018.75</v>
      </c>
      <c r="E67" s="118"/>
      <c r="F67" s="112"/>
      <c r="G67" s="112"/>
      <c r="H67" s="115"/>
      <c r="I67" s="53">
        <v>16</v>
      </c>
      <c r="J67" s="112">
        <f t="shared" ref="J67" si="152">6770-340+9+I67*14+2*INT((I67-1)/2)</f>
        <v>6677</v>
      </c>
      <c r="K67" s="112" t="s">
        <v>106</v>
      </c>
      <c r="L67" s="115">
        <f t="shared" ref="L67" si="153">6770+9+I67*14+2*INT((I67-1)/2)</f>
        <v>7017</v>
      </c>
      <c r="M67" s="116"/>
      <c r="N67" s="51"/>
      <c r="O67" s="51"/>
      <c r="P67" s="51"/>
      <c r="Q67" s="51"/>
    </row>
    <row r="68" spans="1:17" x14ac:dyDescent="0.25">
      <c r="A68" s="111">
        <v>64</v>
      </c>
      <c r="B68" s="112">
        <f t="shared" si="0"/>
        <v>6682.25</v>
      </c>
      <c r="C68" s="112" t="s">
        <v>106</v>
      </c>
      <c r="D68" s="113">
        <f t="shared" si="1"/>
        <v>7022.25</v>
      </c>
      <c r="E68" s="114">
        <v>32</v>
      </c>
      <c r="F68" s="112">
        <f t="shared" ref="F68" si="154">6770-340+12.5+E68*7+2*INT((E68-1)/4)</f>
        <v>6680.5</v>
      </c>
      <c r="G68" s="112" t="s">
        <v>106</v>
      </c>
      <c r="H68" s="115">
        <f t="shared" ref="H68" si="155">6770+12.5+E68*7+2*INT((E68-1)/4)</f>
        <v>7020.5</v>
      </c>
      <c r="I68" s="53"/>
      <c r="J68" s="112"/>
      <c r="K68" s="112"/>
      <c r="L68" s="115"/>
      <c r="M68" s="116"/>
      <c r="N68" s="51"/>
      <c r="O68" s="51"/>
      <c r="P68" s="51"/>
      <c r="Q68" s="51"/>
    </row>
    <row r="69" spans="1:17" x14ac:dyDescent="0.25">
      <c r="A69" s="111">
        <v>65</v>
      </c>
      <c r="B69" s="112">
        <f t="shared" si="0"/>
        <v>6687.75</v>
      </c>
      <c r="C69" s="112" t="s">
        <v>106</v>
      </c>
      <c r="D69" s="113">
        <f t="shared" si="1"/>
        <v>7027.75</v>
      </c>
      <c r="E69" s="118"/>
      <c r="F69" s="112"/>
      <c r="G69" s="112"/>
      <c r="H69" s="115"/>
      <c r="I69" s="53"/>
      <c r="J69" s="112"/>
      <c r="K69" s="112"/>
      <c r="L69" s="115"/>
      <c r="M69" s="116"/>
      <c r="N69" s="51"/>
      <c r="O69" s="51"/>
      <c r="P69" s="51"/>
      <c r="Q69" s="51"/>
    </row>
    <row r="70" spans="1:17" x14ac:dyDescent="0.25">
      <c r="A70" s="111">
        <v>66</v>
      </c>
      <c r="B70" s="112">
        <f t="shared" ref="B70:B92" si="156">6770-340+14.25+A70*3.5+2*INT((A70-1)/8)</f>
        <v>6691.25</v>
      </c>
      <c r="C70" s="112" t="s">
        <v>106</v>
      </c>
      <c r="D70" s="113">
        <f t="shared" ref="D70:D92" si="157">6770+14.25+A70*3.5+2*INT((A70-1)/8)</f>
        <v>7031.25</v>
      </c>
      <c r="E70" s="114">
        <v>33</v>
      </c>
      <c r="F70" s="112">
        <f t="shared" ref="F70" si="158">6770-340+12.5+E70*7+2*INT((E70-1)/4)</f>
        <v>6689.5</v>
      </c>
      <c r="G70" s="112" t="s">
        <v>106</v>
      </c>
      <c r="H70" s="115">
        <f t="shared" ref="H70" si="159">6770+12.5+E70*7+2*INT((E70-1)/4)</f>
        <v>7029.5</v>
      </c>
      <c r="I70" s="53"/>
      <c r="J70" s="112"/>
      <c r="K70" s="112"/>
      <c r="L70" s="115"/>
      <c r="M70" s="116"/>
      <c r="N70" s="51"/>
      <c r="O70" s="51"/>
      <c r="P70" s="51"/>
      <c r="Q70" s="51"/>
    </row>
    <row r="71" spans="1:17" x14ac:dyDescent="0.25">
      <c r="A71" s="111">
        <v>67</v>
      </c>
      <c r="B71" s="112">
        <f t="shared" si="156"/>
        <v>6694.75</v>
      </c>
      <c r="C71" s="112" t="s">
        <v>106</v>
      </c>
      <c r="D71" s="113">
        <f t="shared" si="157"/>
        <v>7034.75</v>
      </c>
      <c r="E71" s="118"/>
      <c r="F71" s="112"/>
      <c r="G71" s="112"/>
      <c r="H71" s="115"/>
      <c r="I71" s="53">
        <v>17</v>
      </c>
      <c r="J71" s="112">
        <f t="shared" ref="J71" si="160">6770-340+9+I71*14+2*INT((I71-1)/2)</f>
        <v>6693</v>
      </c>
      <c r="K71" s="112" t="s">
        <v>106</v>
      </c>
      <c r="L71" s="115">
        <f t="shared" ref="L71" si="161">6770+9+I71*14+2*INT((I71-1)/2)</f>
        <v>7033</v>
      </c>
      <c r="M71" s="116"/>
      <c r="N71" s="51"/>
      <c r="O71" s="51"/>
      <c r="P71" s="51"/>
      <c r="Q71" s="51"/>
    </row>
    <row r="72" spans="1:17" x14ac:dyDescent="0.25">
      <c r="A72" s="111">
        <v>68</v>
      </c>
      <c r="B72" s="112">
        <f t="shared" si="156"/>
        <v>6698.25</v>
      </c>
      <c r="C72" s="112" t="s">
        <v>106</v>
      </c>
      <c r="D72" s="113">
        <f t="shared" si="157"/>
        <v>7038.25</v>
      </c>
      <c r="E72" s="114">
        <v>34</v>
      </c>
      <c r="F72" s="112">
        <f t="shared" ref="F72" si="162">6770-340+12.5+E72*7+2*INT((E72-1)/4)</f>
        <v>6696.5</v>
      </c>
      <c r="G72" s="112" t="s">
        <v>106</v>
      </c>
      <c r="H72" s="115">
        <f t="shared" ref="H72" si="163">6770+12.5+E72*7+2*INT((E72-1)/4)</f>
        <v>7036.5</v>
      </c>
      <c r="I72" s="53"/>
      <c r="J72" s="112"/>
      <c r="K72" s="112"/>
      <c r="L72" s="115"/>
      <c r="M72" s="116"/>
      <c r="N72" s="51"/>
      <c r="O72" s="51"/>
      <c r="P72" s="51"/>
      <c r="Q72" s="51"/>
    </row>
    <row r="73" spans="1:17" x14ac:dyDescent="0.25">
      <c r="A73" s="111">
        <v>69</v>
      </c>
      <c r="B73" s="112">
        <f t="shared" si="156"/>
        <v>6701.75</v>
      </c>
      <c r="C73" s="112" t="s">
        <v>106</v>
      </c>
      <c r="D73" s="113">
        <f t="shared" si="157"/>
        <v>7041.75</v>
      </c>
      <c r="E73" s="118"/>
      <c r="F73" s="112"/>
      <c r="G73" s="112"/>
      <c r="H73" s="115"/>
      <c r="I73" s="53"/>
      <c r="J73" s="112"/>
      <c r="K73" s="112"/>
      <c r="L73" s="115"/>
      <c r="M73" s="116"/>
      <c r="N73" s="51"/>
      <c r="O73" s="51"/>
      <c r="P73" s="51"/>
      <c r="Q73" s="51"/>
    </row>
    <row r="74" spans="1:17" x14ac:dyDescent="0.25">
      <c r="A74" s="111">
        <v>70</v>
      </c>
      <c r="B74" s="112">
        <f t="shared" si="156"/>
        <v>6705.25</v>
      </c>
      <c r="C74" s="112" t="s">
        <v>106</v>
      </c>
      <c r="D74" s="113">
        <f t="shared" si="157"/>
        <v>7045.25</v>
      </c>
      <c r="E74" s="114">
        <v>35</v>
      </c>
      <c r="F74" s="112">
        <f t="shared" ref="F74" si="164">6770-340+12.5+E74*7+2*INT((E74-1)/4)</f>
        <v>6703.5</v>
      </c>
      <c r="G74" s="112" t="s">
        <v>106</v>
      </c>
      <c r="H74" s="115">
        <f t="shared" ref="H74" si="165">6770+12.5+E74*7+2*INT((E74-1)/4)</f>
        <v>7043.5</v>
      </c>
      <c r="I74" s="53"/>
      <c r="J74" s="112"/>
      <c r="K74" s="112"/>
      <c r="L74" s="115"/>
      <c r="M74" s="116"/>
      <c r="N74" s="51"/>
      <c r="O74" s="51"/>
      <c r="P74" s="51"/>
      <c r="Q74" s="51"/>
    </row>
    <row r="75" spans="1:17" x14ac:dyDescent="0.25">
      <c r="A75" s="111">
        <v>71</v>
      </c>
      <c r="B75" s="112">
        <f t="shared" si="156"/>
        <v>6708.75</v>
      </c>
      <c r="C75" s="112" t="s">
        <v>106</v>
      </c>
      <c r="D75" s="113">
        <f t="shared" si="157"/>
        <v>7048.75</v>
      </c>
      <c r="E75" s="118"/>
      <c r="F75" s="112"/>
      <c r="G75" s="112"/>
      <c r="H75" s="115"/>
      <c r="I75" s="53">
        <v>18</v>
      </c>
      <c r="J75" s="112">
        <f t="shared" ref="J75" si="166">6770-340+9+I75*14+2*INT((I75-1)/2)</f>
        <v>6707</v>
      </c>
      <c r="K75" s="112" t="s">
        <v>106</v>
      </c>
      <c r="L75" s="115">
        <f t="shared" ref="L75" si="167">6770+9+I75*14+2*INT((I75-1)/2)</f>
        <v>7047</v>
      </c>
      <c r="M75" s="116"/>
      <c r="N75" s="51"/>
      <c r="O75" s="51"/>
      <c r="P75" s="51"/>
      <c r="Q75" s="51"/>
    </row>
    <row r="76" spans="1:17" x14ac:dyDescent="0.25">
      <c r="A76" s="111">
        <v>72</v>
      </c>
      <c r="B76" s="112">
        <f t="shared" si="156"/>
        <v>6712.25</v>
      </c>
      <c r="C76" s="112" t="s">
        <v>106</v>
      </c>
      <c r="D76" s="113">
        <f t="shared" si="157"/>
        <v>7052.25</v>
      </c>
      <c r="E76" s="114">
        <v>36</v>
      </c>
      <c r="F76" s="112">
        <f t="shared" ref="F76" si="168">6770-340+12.5+E76*7+2*INT((E76-1)/4)</f>
        <v>6710.5</v>
      </c>
      <c r="G76" s="112" t="s">
        <v>106</v>
      </c>
      <c r="H76" s="115">
        <f t="shared" ref="H76" si="169">6770+12.5+E76*7+2*INT((E76-1)/4)</f>
        <v>7050.5</v>
      </c>
      <c r="I76" s="53"/>
      <c r="J76" s="112"/>
      <c r="K76" s="112"/>
      <c r="L76" s="115"/>
      <c r="M76" s="116"/>
      <c r="N76" s="51"/>
      <c r="O76" s="51"/>
      <c r="P76" s="51"/>
      <c r="Q76" s="51"/>
    </row>
    <row r="77" spans="1:17" x14ac:dyDescent="0.25">
      <c r="A77" s="111">
        <v>73</v>
      </c>
      <c r="B77" s="112">
        <f t="shared" si="156"/>
        <v>6717.75</v>
      </c>
      <c r="C77" s="112" t="s">
        <v>106</v>
      </c>
      <c r="D77" s="113">
        <f t="shared" si="157"/>
        <v>7057.75</v>
      </c>
      <c r="E77" s="118"/>
      <c r="F77" s="112"/>
      <c r="G77" s="112"/>
      <c r="H77" s="115"/>
      <c r="I77" s="53"/>
      <c r="J77" s="112"/>
      <c r="K77" s="112"/>
      <c r="L77" s="115"/>
      <c r="M77" s="116"/>
      <c r="N77" s="51"/>
      <c r="O77" s="51"/>
      <c r="P77" s="51"/>
      <c r="Q77" s="51"/>
    </row>
    <row r="78" spans="1:17" x14ac:dyDescent="0.25">
      <c r="A78" s="111">
        <v>74</v>
      </c>
      <c r="B78" s="112">
        <f t="shared" si="156"/>
        <v>6721.25</v>
      </c>
      <c r="C78" s="112" t="s">
        <v>106</v>
      </c>
      <c r="D78" s="113">
        <f t="shared" si="157"/>
        <v>7061.25</v>
      </c>
      <c r="E78" s="114">
        <v>37</v>
      </c>
      <c r="F78" s="112">
        <f t="shared" ref="F78" si="170">6770-340+12.5+E78*7+2*INT((E78-1)/4)</f>
        <v>6719.5</v>
      </c>
      <c r="G78" s="112" t="s">
        <v>106</v>
      </c>
      <c r="H78" s="115">
        <f t="shared" ref="H78" si="171">6770+12.5+E78*7+2*INT((E78-1)/4)</f>
        <v>7059.5</v>
      </c>
      <c r="I78" s="53"/>
      <c r="J78" s="112"/>
      <c r="K78" s="112"/>
      <c r="L78" s="115"/>
      <c r="M78" s="116"/>
      <c r="N78" s="51"/>
      <c r="O78" s="51"/>
      <c r="P78" s="51"/>
      <c r="Q78" s="51"/>
    </row>
    <row r="79" spans="1:17" x14ac:dyDescent="0.25">
      <c r="A79" s="111">
        <v>75</v>
      </c>
      <c r="B79" s="112">
        <f t="shared" si="156"/>
        <v>6724.75</v>
      </c>
      <c r="C79" s="112" t="s">
        <v>106</v>
      </c>
      <c r="D79" s="113">
        <f t="shared" si="157"/>
        <v>7064.75</v>
      </c>
      <c r="E79" s="118"/>
      <c r="F79" s="112"/>
      <c r="G79" s="112"/>
      <c r="H79" s="115"/>
      <c r="I79" s="53">
        <v>19</v>
      </c>
      <c r="J79" s="112">
        <f t="shared" ref="J79" si="172">6770-340+9+I79*14+2*INT((I79-1)/2)</f>
        <v>6723</v>
      </c>
      <c r="K79" s="112" t="s">
        <v>106</v>
      </c>
      <c r="L79" s="115">
        <f t="shared" ref="L79" si="173">6770+9+I79*14+2*INT((I79-1)/2)</f>
        <v>7063</v>
      </c>
      <c r="M79" s="116"/>
      <c r="N79" s="51"/>
      <c r="O79" s="51"/>
      <c r="P79" s="51"/>
      <c r="Q79" s="51"/>
    </row>
    <row r="80" spans="1:17" x14ac:dyDescent="0.25">
      <c r="A80" s="111">
        <v>76</v>
      </c>
      <c r="B80" s="112">
        <f t="shared" si="156"/>
        <v>6728.25</v>
      </c>
      <c r="C80" s="112" t="s">
        <v>106</v>
      </c>
      <c r="D80" s="113">
        <f t="shared" si="157"/>
        <v>7068.25</v>
      </c>
      <c r="E80" s="114">
        <v>38</v>
      </c>
      <c r="F80" s="112">
        <f t="shared" ref="F80" si="174">6770-340+12.5+E80*7+2*INT((E80-1)/4)</f>
        <v>6726.5</v>
      </c>
      <c r="G80" s="112" t="s">
        <v>106</v>
      </c>
      <c r="H80" s="115">
        <f t="shared" ref="H80" si="175">6770+12.5+E80*7+2*INT((E80-1)/4)</f>
        <v>7066.5</v>
      </c>
      <c r="I80" s="53"/>
      <c r="J80" s="112"/>
      <c r="K80" s="112"/>
      <c r="L80" s="115"/>
      <c r="M80" s="116"/>
      <c r="N80" s="51"/>
      <c r="O80" s="51"/>
      <c r="P80" s="51"/>
      <c r="Q80" s="51"/>
    </row>
    <row r="81" spans="1:17" x14ac:dyDescent="0.25">
      <c r="A81" s="111">
        <v>77</v>
      </c>
      <c r="B81" s="112">
        <f t="shared" si="156"/>
        <v>6731.75</v>
      </c>
      <c r="C81" s="112" t="s">
        <v>106</v>
      </c>
      <c r="D81" s="113">
        <f t="shared" si="157"/>
        <v>7071.75</v>
      </c>
      <c r="E81" s="118"/>
      <c r="F81" s="112"/>
      <c r="G81" s="112"/>
      <c r="H81" s="115"/>
      <c r="I81" s="53"/>
      <c r="J81" s="112"/>
      <c r="K81" s="112"/>
      <c r="L81" s="115"/>
      <c r="M81" s="116"/>
      <c r="N81" s="51"/>
      <c r="O81" s="51"/>
      <c r="P81" s="51"/>
      <c r="Q81" s="51"/>
    </row>
    <row r="82" spans="1:17" x14ac:dyDescent="0.25">
      <c r="A82" s="111">
        <v>78</v>
      </c>
      <c r="B82" s="112">
        <f t="shared" si="156"/>
        <v>6735.25</v>
      </c>
      <c r="C82" s="112" t="s">
        <v>106</v>
      </c>
      <c r="D82" s="113">
        <f t="shared" si="157"/>
        <v>7075.25</v>
      </c>
      <c r="E82" s="114">
        <v>39</v>
      </c>
      <c r="F82" s="112">
        <f t="shared" ref="F82" si="176">6770-340+12.5+E82*7+2*INT((E82-1)/4)</f>
        <v>6733.5</v>
      </c>
      <c r="G82" s="112" t="s">
        <v>106</v>
      </c>
      <c r="H82" s="115">
        <f t="shared" ref="H82" si="177">6770+12.5+E82*7+2*INT((E82-1)/4)</f>
        <v>7073.5</v>
      </c>
      <c r="I82" s="53"/>
      <c r="J82" s="112"/>
      <c r="K82" s="112"/>
      <c r="L82" s="115"/>
      <c r="M82" s="116"/>
      <c r="N82" s="51"/>
      <c r="O82" s="51"/>
      <c r="P82" s="51"/>
      <c r="Q82" s="51"/>
    </row>
    <row r="83" spans="1:17" x14ac:dyDescent="0.25">
      <c r="A83" s="111">
        <v>79</v>
      </c>
      <c r="B83" s="112">
        <f t="shared" si="156"/>
        <v>6738.75</v>
      </c>
      <c r="C83" s="112" t="s">
        <v>106</v>
      </c>
      <c r="D83" s="113">
        <f t="shared" si="157"/>
        <v>7078.75</v>
      </c>
      <c r="E83" s="118"/>
      <c r="F83" s="112"/>
      <c r="G83" s="112"/>
      <c r="H83" s="115"/>
      <c r="I83" s="53">
        <v>20</v>
      </c>
      <c r="J83" s="112">
        <f t="shared" ref="J83" si="178">6770-340+9+I83*14+2*INT((I83-1)/2)</f>
        <v>6737</v>
      </c>
      <c r="K83" s="112" t="s">
        <v>106</v>
      </c>
      <c r="L83" s="115">
        <f t="shared" ref="L83" si="179">6770+9+I83*14+2*INT((I83-1)/2)</f>
        <v>7077</v>
      </c>
      <c r="M83" s="116"/>
      <c r="N83" s="51"/>
      <c r="O83" s="51"/>
      <c r="P83" s="51"/>
      <c r="Q83" s="51"/>
    </row>
    <row r="84" spans="1:17" x14ac:dyDescent="0.25">
      <c r="A84" s="111">
        <v>80</v>
      </c>
      <c r="B84" s="112">
        <f t="shared" si="156"/>
        <v>6742.25</v>
      </c>
      <c r="C84" s="112" t="s">
        <v>106</v>
      </c>
      <c r="D84" s="113">
        <f t="shared" si="157"/>
        <v>7082.25</v>
      </c>
      <c r="E84" s="114">
        <v>40</v>
      </c>
      <c r="F84" s="112">
        <f t="shared" ref="F84" si="180">6770-340+12.5+E84*7+2*INT((E84-1)/4)</f>
        <v>6740.5</v>
      </c>
      <c r="G84" s="112" t="s">
        <v>106</v>
      </c>
      <c r="H84" s="115">
        <f t="shared" ref="H84" si="181">6770+12.5+E84*7+2*INT((E84-1)/4)</f>
        <v>7080.5</v>
      </c>
      <c r="I84" s="53"/>
      <c r="J84" s="112"/>
      <c r="K84" s="112"/>
      <c r="L84" s="115"/>
      <c r="M84" s="116"/>
      <c r="N84" s="51"/>
      <c r="O84" s="51"/>
      <c r="P84" s="51"/>
      <c r="Q84" s="51"/>
    </row>
    <row r="85" spans="1:17" x14ac:dyDescent="0.25">
      <c r="A85" s="111">
        <v>81</v>
      </c>
      <c r="B85" s="112">
        <f t="shared" si="156"/>
        <v>6747.75</v>
      </c>
      <c r="C85" s="112" t="s">
        <v>106</v>
      </c>
      <c r="D85" s="113">
        <f t="shared" si="157"/>
        <v>7087.75</v>
      </c>
      <c r="E85" s="118"/>
      <c r="F85" s="112"/>
      <c r="G85" s="112"/>
      <c r="H85" s="115"/>
      <c r="I85" s="53"/>
      <c r="J85" s="112"/>
      <c r="K85" s="112"/>
      <c r="L85" s="115"/>
      <c r="M85" s="116"/>
      <c r="N85" s="51"/>
      <c r="O85" s="51"/>
      <c r="P85" s="51"/>
      <c r="Q85" s="51"/>
    </row>
    <row r="86" spans="1:17" x14ac:dyDescent="0.25">
      <c r="A86" s="111">
        <v>82</v>
      </c>
      <c r="B86" s="112">
        <f t="shared" si="156"/>
        <v>6751.25</v>
      </c>
      <c r="C86" s="112" t="s">
        <v>106</v>
      </c>
      <c r="D86" s="113">
        <f t="shared" si="157"/>
        <v>7091.25</v>
      </c>
      <c r="E86" s="114">
        <v>41</v>
      </c>
      <c r="F86" s="112">
        <f t="shared" ref="F86" si="182">6770-340+12.5+E86*7+2*INT((E86-1)/4)</f>
        <v>6749.5</v>
      </c>
      <c r="G86" s="112" t="s">
        <v>106</v>
      </c>
      <c r="H86" s="115">
        <f t="shared" ref="H86" si="183">6770+12.5+E86*7+2*INT((E86-1)/4)</f>
        <v>7089.5</v>
      </c>
      <c r="I86" s="53"/>
      <c r="J86" s="112"/>
      <c r="K86" s="112"/>
      <c r="L86" s="115"/>
      <c r="M86" s="116"/>
      <c r="N86" s="51"/>
      <c r="O86" s="51"/>
      <c r="P86" s="51"/>
      <c r="Q86" s="51"/>
    </row>
    <row r="87" spans="1:17" x14ac:dyDescent="0.25">
      <c r="A87" s="111">
        <v>83</v>
      </c>
      <c r="B87" s="112">
        <f t="shared" si="156"/>
        <v>6754.75</v>
      </c>
      <c r="C87" s="112" t="s">
        <v>106</v>
      </c>
      <c r="D87" s="113">
        <f t="shared" si="157"/>
        <v>7094.75</v>
      </c>
      <c r="E87" s="118"/>
      <c r="F87" s="112"/>
      <c r="G87" s="112"/>
      <c r="H87" s="115"/>
      <c r="I87" s="53">
        <v>21</v>
      </c>
      <c r="J87" s="112">
        <f t="shared" ref="J87" si="184">6770-340+9+I87*14+2*INT((I87-1)/2)</f>
        <v>6753</v>
      </c>
      <c r="K87" s="112" t="s">
        <v>106</v>
      </c>
      <c r="L87" s="115">
        <f t="shared" ref="L87" si="185">6770+9+I87*14+2*INT((I87-1)/2)</f>
        <v>7093</v>
      </c>
      <c r="M87" s="116"/>
      <c r="N87" s="51"/>
      <c r="O87" s="51"/>
      <c r="P87" s="51"/>
      <c r="Q87" s="51"/>
    </row>
    <row r="88" spans="1:17" x14ac:dyDescent="0.25">
      <c r="A88" s="111">
        <v>84</v>
      </c>
      <c r="B88" s="112">
        <f t="shared" si="156"/>
        <v>6758.25</v>
      </c>
      <c r="C88" s="112" t="s">
        <v>106</v>
      </c>
      <c r="D88" s="113">
        <f t="shared" si="157"/>
        <v>7098.25</v>
      </c>
      <c r="E88" s="114">
        <v>42</v>
      </c>
      <c r="F88" s="112">
        <f t="shared" ref="F88" si="186">6770-340+12.5+E88*7+2*INT((E88-1)/4)</f>
        <v>6756.5</v>
      </c>
      <c r="G88" s="112" t="s">
        <v>106</v>
      </c>
      <c r="H88" s="115">
        <f t="shared" ref="H88" si="187">6770+12.5+E88*7+2*INT((E88-1)/4)</f>
        <v>7096.5</v>
      </c>
      <c r="I88" s="53"/>
      <c r="J88" s="112"/>
      <c r="K88" s="112"/>
      <c r="L88" s="115"/>
      <c r="M88" s="116"/>
      <c r="N88" s="51"/>
      <c r="O88" s="51"/>
      <c r="P88" s="51"/>
      <c r="Q88" s="51"/>
    </row>
    <row r="89" spans="1:17" x14ac:dyDescent="0.25">
      <c r="A89" s="111">
        <v>85</v>
      </c>
      <c r="B89" s="112">
        <f t="shared" si="156"/>
        <v>6761.75</v>
      </c>
      <c r="C89" s="112" t="s">
        <v>106</v>
      </c>
      <c r="D89" s="113">
        <f t="shared" si="157"/>
        <v>7101.75</v>
      </c>
      <c r="E89" s="118"/>
      <c r="F89" s="112"/>
      <c r="G89" s="112"/>
      <c r="H89" s="115"/>
      <c r="I89" s="53"/>
      <c r="J89" s="112"/>
      <c r="K89" s="112"/>
      <c r="L89" s="115"/>
      <c r="M89" s="116"/>
      <c r="N89" s="51"/>
      <c r="O89" s="51"/>
      <c r="P89" s="51"/>
      <c r="Q89" s="51"/>
    </row>
    <row r="90" spans="1:17" x14ac:dyDescent="0.25">
      <c r="A90" s="111">
        <v>86</v>
      </c>
      <c r="B90" s="112">
        <f t="shared" si="156"/>
        <v>6765.25</v>
      </c>
      <c r="C90" s="112" t="s">
        <v>106</v>
      </c>
      <c r="D90" s="113">
        <f t="shared" si="157"/>
        <v>7105.25</v>
      </c>
      <c r="E90" s="114">
        <v>43</v>
      </c>
      <c r="F90" s="112">
        <f t="shared" ref="F90" si="188">6770-340+12.5+E90*7+2*INT((E90-1)/4)</f>
        <v>6763.5</v>
      </c>
      <c r="G90" s="112" t="s">
        <v>106</v>
      </c>
      <c r="H90" s="115">
        <f t="shared" ref="H90" si="189">6770+12.5+E90*7+2*INT((E90-1)/4)</f>
        <v>7103.5</v>
      </c>
      <c r="I90" s="53"/>
      <c r="J90" s="112"/>
      <c r="K90" s="112"/>
      <c r="L90" s="115"/>
      <c r="M90" s="116"/>
      <c r="N90" s="51"/>
      <c r="O90" s="51"/>
      <c r="P90" s="51"/>
      <c r="Q90" s="51"/>
    </row>
    <row r="91" spans="1:17" x14ac:dyDescent="0.25">
      <c r="A91" s="111">
        <v>87</v>
      </c>
      <c r="B91" s="112">
        <f t="shared" si="156"/>
        <v>6768.75</v>
      </c>
      <c r="C91" s="112" t="s">
        <v>106</v>
      </c>
      <c r="D91" s="113">
        <f t="shared" si="157"/>
        <v>7108.75</v>
      </c>
      <c r="E91" s="118"/>
      <c r="F91" s="112"/>
      <c r="G91" s="112"/>
      <c r="H91" s="115"/>
      <c r="I91" s="53">
        <v>22</v>
      </c>
      <c r="J91" s="112">
        <f t="shared" ref="J91" si="190">6770-340+9+I91*14+2*INT((I91-1)/2)</f>
        <v>6767</v>
      </c>
      <c r="K91" s="112" t="s">
        <v>106</v>
      </c>
      <c r="L91" s="115">
        <f t="shared" ref="L91" si="191">6770+9+I91*14+2*INT((I91-1)/2)</f>
        <v>7107</v>
      </c>
      <c r="M91" s="116"/>
      <c r="N91" s="51"/>
      <c r="O91" s="51"/>
      <c r="P91" s="51"/>
      <c r="Q91" s="51"/>
    </row>
    <row r="92" spans="1:17" ht="15.75" thickBot="1" x14ac:dyDescent="0.3">
      <c r="A92" s="123">
        <v>88</v>
      </c>
      <c r="B92" s="121">
        <f t="shared" si="156"/>
        <v>6772.25</v>
      </c>
      <c r="C92" s="121" t="s">
        <v>106</v>
      </c>
      <c r="D92" s="124">
        <f t="shared" si="157"/>
        <v>7112.25</v>
      </c>
      <c r="E92" s="125">
        <v>44</v>
      </c>
      <c r="F92" s="121">
        <f t="shared" ref="F92" si="192">6770-340+12.5+E92*7+2*INT((E92-1)/4)</f>
        <v>6770.5</v>
      </c>
      <c r="G92" s="121" t="s">
        <v>106</v>
      </c>
      <c r="H92" s="122">
        <f t="shared" ref="H92" si="193">6770+12.5+E92*7+2*INT((E92-1)/4)</f>
        <v>7110.5</v>
      </c>
      <c r="I92" s="120"/>
      <c r="J92" s="121"/>
      <c r="K92" s="121"/>
      <c r="L92" s="122"/>
      <c r="M92" s="126"/>
      <c r="N92" s="51"/>
      <c r="O92" s="51"/>
      <c r="P92" s="51"/>
      <c r="Q92" s="51"/>
    </row>
    <row r="93" spans="1:17" x14ac:dyDescent="0.25">
      <c r="E93" s="3"/>
      <c r="G93" s="3"/>
      <c r="H93" s="7"/>
      <c r="I93" s="3"/>
      <c r="L93" s="7"/>
      <c r="M93" s="7"/>
      <c r="N93" s="51"/>
      <c r="O93" s="51"/>
      <c r="P93" s="51"/>
      <c r="Q93" s="51"/>
    </row>
  </sheetData>
  <mergeCells count="4">
    <mergeCell ref="A1:Z1"/>
    <mergeCell ref="A2:Z2"/>
    <mergeCell ref="F3:H3"/>
    <mergeCell ref="O3:Q3"/>
  </mergeCells>
  <hyperlinks>
    <hyperlink ref="A2:Z2" r:id="rId1" display="ERC/REC 14-02 E" xr:uid="{336BFB1D-DB73-4A32-8933-39D0412E67A5}"/>
    <hyperlink ref="AA1" location="'Oversikt'!A1" display="Oversikt" xr:uid="{6E3E0EF3-CB2B-48C0-8D86-AC1DB4D4C48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3AA58-AAB4-4669-9527-CE61A52BA649}">
  <sheetPr codeName="Ark7">
    <tabColor theme="8" tint="0.59999389629810485"/>
  </sheetPr>
  <dimension ref="A1:K36"/>
  <sheetViews>
    <sheetView topLeftCell="A10" zoomScale="80" zoomScaleNormal="80" workbookViewId="0">
      <selection activeCell="J1" sqref="J1"/>
    </sheetView>
  </sheetViews>
  <sheetFormatPr baseColWidth="10" defaultColWidth="11.42578125" defaultRowHeight="15" x14ac:dyDescent="0.25"/>
  <sheetData>
    <row r="1" spans="1:11" ht="18.75" x14ac:dyDescent="0.3">
      <c r="A1" s="127"/>
      <c r="B1" s="128" t="s">
        <v>124</v>
      </c>
      <c r="C1" s="129"/>
      <c r="D1" s="128"/>
      <c r="E1" s="127"/>
      <c r="F1" s="130"/>
      <c r="G1" s="129"/>
      <c r="H1" s="128"/>
      <c r="I1" s="127"/>
      <c r="J1" s="800" t="s">
        <v>50</v>
      </c>
      <c r="K1" s="129"/>
    </row>
    <row r="2" spans="1:11" ht="15.75" thickBot="1" x14ac:dyDescent="0.3">
      <c r="B2" s="131"/>
      <c r="C2" s="3"/>
      <c r="D2" s="7"/>
      <c r="F2" s="131"/>
      <c r="G2" s="3"/>
      <c r="H2" s="7"/>
      <c r="J2" s="131"/>
      <c r="K2" s="3"/>
    </row>
    <row r="3" spans="1:11" x14ac:dyDescent="0.25">
      <c r="A3" s="132"/>
      <c r="B3" s="133" t="s">
        <v>125</v>
      </c>
      <c r="C3" s="134"/>
      <c r="D3" s="135"/>
      <c r="E3" s="132"/>
      <c r="F3" s="133" t="s">
        <v>126</v>
      </c>
      <c r="G3" s="134"/>
      <c r="H3" s="135"/>
    </row>
    <row r="4" spans="1:11" x14ac:dyDescent="0.25">
      <c r="A4" s="136"/>
      <c r="B4" s="7"/>
      <c r="C4" s="3"/>
      <c r="D4" s="137"/>
      <c r="E4" s="136"/>
      <c r="F4" s="7"/>
      <c r="G4" s="3"/>
      <c r="H4" s="137"/>
    </row>
    <row r="5" spans="1:11" x14ac:dyDescent="0.25">
      <c r="A5" s="136"/>
      <c r="B5" s="131"/>
      <c r="C5" s="3"/>
      <c r="D5" s="137"/>
      <c r="E5" s="136"/>
      <c r="F5" s="131"/>
      <c r="G5" s="3"/>
      <c r="H5" s="137"/>
    </row>
    <row r="6" spans="1:11" x14ac:dyDescent="0.25">
      <c r="A6" s="136">
        <v>1</v>
      </c>
      <c r="B6" s="131">
        <f>7275-154+7</f>
        <v>7128</v>
      </c>
      <c r="C6" s="3" t="s">
        <v>106</v>
      </c>
      <c r="D6" s="137">
        <f>7275+7+7</f>
        <v>7289</v>
      </c>
      <c r="E6" s="136">
        <v>1</v>
      </c>
      <c r="F6" s="131">
        <f>7128</f>
        <v>7128</v>
      </c>
      <c r="G6" s="3" t="s">
        <v>106</v>
      </c>
      <c r="H6" s="137">
        <v>7289</v>
      </c>
    </row>
    <row r="7" spans="1:11" x14ac:dyDescent="0.25">
      <c r="A7" s="136">
        <v>2</v>
      </c>
      <c r="B7" s="131">
        <f>+B6+7</f>
        <v>7135</v>
      </c>
      <c r="C7" s="3" t="s">
        <v>106</v>
      </c>
      <c r="D7" s="137">
        <f>+D6+7</f>
        <v>7296</v>
      </c>
      <c r="E7" s="136"/>
      <c r="F7" s="131"/>
      <c r="G7" s="3"/>
      <c r="H7" s="137"/>
    </row>
    <row r="8" spans="1:11" x14ac:dyDescent="0.25">
      <c r="A8" s="136">
        <v>3</v>
      </c>
      <c r="B8" s="131">
        <f t="shared" ref="B8:D23" si="0">+B7+7</f>
        <v>7142</v>
      </c>
      <c r="C8" s="3" t="s">
        <v>106</v>
      </c>
      <c r="D8" s="137">
        <f t="shared" si="0"/>
        <v>7303</v>
      </c>
      <c r="E8" s="136"/>
      <c r="F8" s="131"/>
      <c r="G8" s="3"/>
      <c r="H8" s="137"/>
    </row>
    <row r="9" spans="1:11" x14ac:dyDescent="0.25">
      <c r="A9" s="136">
        <v>4</v>
      </c>
      <c r="B9" s="131">
        <f t="shared" si="0"/>
        <v>7149</v>
      </c>
      <c r="C9" s="3" t="s">
        <v>106</v>
      </c>
      <c r="D9" s="137">
        <f t="shared" si="0"/>
        <v>7310</v>
      </c>
      <c r="E9" s="136"/>
      <c r="F9" s="131"/>
      <c r="G9" s="3"/>
      <c r="H9" s="137"/>
    </row>
    <row r="10" spans="1:11" x14ac:dyDescent="0.25">
      <c r="A10" s="136">
        <v>5</v>
      </c>
      <c r="B10" s="131">
        <f t="shared" si="0"/>
        <v>7156</v>
      </c>
      <c r="C10" s="3" t="s">
        <v>106</v>
      </c>
      <c r="D10" s="137">
        <f t="shared" si="0"/>
        <v>7317</v>
      </c>
      <c r="E10" s="136">
        <v>2</v>
      </c>
      <c r="F10" s="131">
        <f>+F6+28</f>
        <v>7156</v>
      </c>
      <c r="G10" s="3" t="s">
        <v>106</v>
      </c>
      <c r="H10" s="137">
        <f>+H6+28</f>
        <v>7317</v>
      </c>
    </row>
    <row r="11" spans="1:11" x14ac:dyDescent="0.25">
      <c r="A11" s="136">
        <v>6</v>
      </c>
      <c r="B11" s="131">
        <f t="shared" si="0"/>
        <v>7163</v>
      </c>
      <c r="C11" s="3" t="s">
        <v>106</v>
      </c>
      <c r="D11" s="137">
        <f t="shared" si="0"/>
        <v>7324</v>
      </c>
      <c r="E11" s="136"/>
      <c r="F11" s="131"/>
      <c r="G11" s="3" t="s">
        <v>127</v>
      </c>
      <c r="H11" s="137"/>
    </row>
    <row r="12" spans="1:11" x14ac:dyDescent="0.25">
      <c r="A12" s="136">
        <v>7</v>
      </c>
      <c r="B12" s="131">
        <f t="shared" si="0"/>
        <v>7170</v>
      </c>
      <c r="C12" s="3" t="s">
        <v>106</v>
      </c>
      <c r="D12" s="137">
        <f t="shared" si="0"/>
        <v>7331</v>
      </c>
      <c r="E12" s="136"/>
      <c r="F12" s="131"/>
      <c r="G12" s="3"/>
      <c r="H12" s="137"/>
    </row>
    <row r="13" spans="1:11" x14ac:dyDescent="0.25">
      <c r="A13" s="136">
        <v>8</v>
      </c>
      <c r="B13" s="131">
        <f t="shared" si="0"/>
        <v>7177</v>
      </c>
      <c r="C13" s="3" t="s">
        <v>106</v>
      </c>
      <c r="D13" s="137">
        <f t="shared" si="0"/>
        <v>7338</v>
      </c>
      <c r="E13" s="136"/>
      <c r="F13" s="131"/>
      <c r="G13" s="3"/>
      <c r="H13" s="137"/>
    </row>
    <row r="14" spans="1:11" x14ac:dyDescent="0.25">
      <c r="A14" s="136">
        <v>9</v>
      </c>
      <c r="B14" s="131">
        <f t="shared" si="0"/>
        <v>7184</v>
      </c>
      <c r="C14" s="3" t="s">
        <v>106</v>
      </c>
      <c r="D14" s="137">
        <f t="shared" si="0"/>
        <v>7345</v>
      </c>
      <c r="E14" s="136">
        <v>3</v>
      </c>
      <c r="F14" s="131">
        <f>+F10+28</f>
        <v>7184</v>
      </c>
      <c r="G14" s="3" t="s">
        <v>106</v>
      </c>
      <c r="H14" s="137">
        <f>+H10+28</f>
        <v>7345</v>
      </c>
    </row>
    <row r="15" spans="1:11" x14ac:dyDescent="0.25">
      <c r="A15" s="136">
        <v>10</v>
      </c>
      <c r="B15" s="131">
        <f t="shared" si="0"/>
        <v>7191</v>
      </c>
      <c r="C15" s="3" t="s">
        <v>106</v>
      </c>
      <c r="D15" s="137">
        <f t="shared" si="0"/>
        <v>7352</v>
      </c>
      <c r="E15" s="136"/>
      <c r="F15" s="131"/>
      <c r="G15" s="3" t="s">
        <v>127</v>
      </c>
      <c r="H15" s="137"/>
    </row>
    <row r="16" spans="1:11" x14ac:dyDescent="0.25">
      <c r="A16" s="136">
        <v>11</v>
      </c>
      <c r="B16" s="131">
        <f t="shared" si="0"/>
        <v>7198</v>
      </c>
      <c r="C16" s="3" t="s">
        <v>106</v>
      </c>
      <c r="D16" s="137">
        <f t="shared" si="0"/>
        <v>7359</v>
      </c>
      <c r="E16" s="136"/>
      <c r="F16" s="131"/>
      <c r="G16" s="3"/>
      <c r="H16" s="137"/>
    </row>
    <row r="17" spans="1:11" x14ac:dyDescent="0.25">
      <c r="A17" s="136">
        <v>12</v>
      </c>
      <c r="B17" s="131">
        <f t="shared" si="0"/>
        <v>7205</v>
      </c>
      <c r="C17" s="3" t="s">
        <v>106</v>
      </c>
      <c r="D17" s="137">
        <f t="shared" si="0"/>
        <v>7366</v>
      </c>
      <c r="E17" s="136"/>
      <c r="F17" s="131"/>
      <c r="G17" s="3"/>
      <c r="H17" s="137"/>
    </row>
    <row r="18" spans="1:11" x14ac:dyDescent="0.25">
      <c r="A18" s="136">
        <v>13</v>
      </c>
      <c r="B18" s="131">
        <f t="shared" si="0"/>
        <v>7212</v>
      </c>
      <c r="C18" s="3" t="s">
        <v>106</v>
      </c>
      <c r="D18" s="137">
        <f t="shared" si="0"/>
        <v>7373</v>
      </c>
      <c r="E18" s="136">
        <v>4</v>
      </c>
      <c r="F18" s="131">
        <f>+F14+28</f>
        <v>7212</v>
      </c>
      <c r="G18" s="3" t="s">
        <v>106</v>
      </c>
      <c r="H18" s="137">
        <f>+H14+28</f>
        <v>7373</v>
      </c>
    </row>
    <row r="19" spans="1:11" x14ac:dyDescent="0.25">
      <c r="A19" s="136">
        <v>14</v>
      </c>
      <c r="B19" s="131">
        <f t="shared" si="0"/>
        <v>7219</v>
      </c>
      <c r="C19" s="3" t="s">
        <v>106</v>
      </c>
      <c r="D19" s="137">
        <f t="shared" si="0"/>
        <v>7380</v>
      </c>
      <c r="E19" s="136"/>
      <c r="F19" s="131"/>
      <c r="G19" s="3" t="s">
        <v>127</v>
      </c>
      <c r="H19" s="137"/>
    </row>
    <row r="20" spans="1:11" x14ac:dyDescent="0.25">
      <c r="A20" s="472">
        <v>15</v>
      </c>
      <c r="B20" s="473">
        <f t="shared" si="0"/>
        <v>7226</v>
      </c>
      <c r="C20" s="474" t="s">
        <v>106</v>
      </c>
      <c r="D20" s="475">
        <f t="shared" si="0"/>
        <v>7387</v>
      </c>
      <c r="E20" s="136"/>
      <c r="F20" s="131"/>
      <c r="G20" s="3"/>
      <c r="H20" s="137"/>
    </row>
    <row r="21" spans="1:11" x14ac:dyDescent="0.25">
      <c r="A21" s="472">
        <v>16</v>
      </c>
      <c r="B21" s="473">
        <f t="shared" si="0"/>
        <v>7233</v>
      </c>
      <c r="C21" s="474" t="s">
        <v>106</v>
      </c>
      <c r="D21" s="475">
        <f t="shared" si="0"/>
        <v>7394</v>
      </c>
      <c r="E21" s="136"/>
      <c r="F21" s="131"/>
      <c r="G21" s="3"/>
      <c r="H21" s="137"/>
    </row>
    <row r="22" spans="1:11" x14ac:dyDescent="0.25">
      <c r="A22" s="472">
        <v>17</v>
      </c>
      <c r="B22" s="473">
        <f t="shared" si="0"/>
        <v>7240</v>
      </c>
      <c r="C22" s="474" t="s">
        <v>106</v>
      </c>
      <c r="D22" s="475">
        <f t="shared" si="0"/>
        <v>7401</v>
      </c>
      <c r="E22" s="472">
        <v>5</v>
      </c>
      <c r="F22" s="473">
        <f>+F18+28</f>
        <v>7240</v>
      </c>
      <c r="G22" s="474" t="s">
        <v>106</v>
      </c>
      <c r="H22" s="475">
        <f>+H18+28</f>
        <v>7401</v>
      </c>
    </row>
    <row r="23" spans="1:11" x14ac:dyDescent="0.25">
      <c r="A23" s="472">
        <v>18</v>
      </c>
      <c r="B23" s="473">
        <f t="shared" si="0"/>
        <v>7247</v>
      </c>
      <c r="C23" s="474" t="s">
        <v>106</v>
      </c>
      <c r="D23" s="475">
        <f t="shared" si="0"/>
        <v>7408</v>
      </c>
      <c r="E23" s="136"/>
      <c r="F23" s="131" t="s">
        <v>127</v>
      </c>
      <c r="G23" s="3" t="s">
        <v>127</v>
      </c>
      <c r="H23" s="137"/>
    </row>
    <row r="24" spans="1:11" x14ac:dyDescent="0.25">
      <c r="A24" s="472">
        <v>19</v>
      </c>
      <c r="B24" s="473">
        <f t="shared" ref="B24:D25" si="1">+B23+7</f>
        <v>7254</v>
      </c>
      <c r="C24" s="474" t="s">
        <v>106</v>
      </c>
      <c r="D24" s="475">
        <f t="shared" si="1"/>
        <v>7415</v>
      </c>
      <c r="E24" s="136"/>
      <c r="F24" s="131"/>
      <c r="G24" s="3"/>
      <c r="H24" s="137"/>
    </row>
    <row r="25" spans="1:11" x14ac:dyDescent="0.25">
      <c r="A25" s="472">
        <v>20</v>
      </c>
      <c r="B25" s="473">
        <f t="shared" si="1"/>
        <v>7261</v>
      </c>
      <c r="C25" s="474" t="s">
        <v>106</v>
      </c>
      <c r="D25" s="475">
        <f t="shared" si="1"/>
        <v>7422</v>
      </c>
      <c r="E25" s="136"/>
      <c r="F25" s="131"/>
      <c r="G25" s="3"/>
      <c r="H25" s="137"/>
    </row>
    <row r="26" spans="1:11" x14ac:dyDescent="0.25">
      <c r="A26" s="136"/>
      <c r="B26" s="131"/>
      <c r="C26" s="3"/>
      <c r="D26" s="137"/>
      <c r="E26" s="136"/>
      <c r="F26" s="131"/>
      <c r="G26" s="3"/>
      <c r="H26" s="137"/>
    </row>
    <row r="27" spans="1:11" ht="15.75" thickBot="1" x14ac:dyDescent="0.3">
      <c r="A27" s="138"/>
      <c r="B27" s="139" t="s">
        <v>128</v>
      </c>
      <c r="C27" s="140"/>
      <c r="D27" s="141"/>
      <c r="E27" s="138"/>
      <c r="F27" s="139" t="s">
        <v>128</v>
      </c>
      <c r="G27" s="140"/>
      <c r="H27" s="141"/>
    </row>
    <row r="28" spans="1:11" x14ac:dyDescent="0.25">
      <c r="B28" s="131"/>
      <c r="C28" s="3"/>
      <c r="D28" s="7"/>
      <c r="F28" s="131"/>
      <c r="G28" s="3"/>
      <c r="H28" s="7"/>
      <c r="J28" s="131"/>
      <c r="K28" s="3"/>
    </row>
    <row r="29" spans="1:11" x14ac:dyDescent="0.25">
      <c r="B29" s="947" t="s">
        <v>129</v>
      </c>
      <c r="C29" s="947"/>
      <c r="D29" s="947"/>
      <c r="E29" s="947"/>
      <c r="F29" s="947"/>
      <c r="G29" s="947"/>
      <c r="H29" s="947"/>
      <c r="I29" s="947"/>
      <c r="J29" s="947"/>
      <c r="K29" s="947"/>
    </row>
    <row r="30" spans="1:11" x14ac:dyDescent="0.25">
      <c r="B30" s="947"/>
      <c r="C30" s="947"/>
      <c r="D30" s="947"/>
      <c r="E30" s="947"/>
      <c r="F30" s="947"/>
      <c r="G30" s="947"/>
      <c r="H30" s="947"/>
      <c r="I30" s="947"/>
      <c r="J30" s="947"/>
      <c r="K30" s="947"/>
    </row>
    <row r="31" spans="1:11" x14ac:dyDescent="0.25">
      <c r="B31" s="142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5">
      <c r="B32" s="49" t="s">
        <v>130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2:11" x14ac:dyDescent="0.25">
      <c r="B33" s="49"/>
      <c r="C33" s="142"/>
      <c r="D33" s="142"/>
      <c r="E33" s="142"/>
      <c r="F33" s="142"/>
      <c r="G33" s="142"/>
      <c r="H33" s="142"/>
      <c r="I33" s="142"/>
      <c r="J33" s="142"/>
      <c r="K33" s="142"/>
    </row>
    <row r="34" spans="2:11" x14ac:dyDescent="0.25">
      <c r="B34" s="51" t="s">
        <v>131</v>
      </c>
      <c r="C34" s="3"/>
      <c r="D34" s="7"/>
      <c r="F34" s="131"/>
      <c r="G34" s="3"/>
      <c r="H34" s="7"/>
      <c r="J34" s="131"/>
      <c r="K34" s="3"/>
    </row>
    <row r="35" spans="2:11" x14ac:dyDescent="0.25">
      <c r="B35" s="49" t="s">
        <v>132</v>
      </c>
      <c r="C35" s="3"/>
      <c r="D35" s="7"/>
      <c r="F35" s="131"/>
      <c r="G35" s="3"/>
      <c r="H35" s="7"/>
      <c r="J35" s="131"/>
      <c r="K35" s="3"/>
    </row>
    <row r="36" spans="2:11" x14ac:dyDescent="0.25">
      <c r="B36" s="49" t="s">
        <v>133</v>
      </c>
      <c r="C36" s="3"/>
      <c r="D36" s="7"/>
      <c r="F36" s="131"/>
      <c r="G36" s="3"/>
      <c r="H36" s="7"/>
      <c r="J36" s="131"/>
      <c r="K36" s="3"/>
    </row>
  </sheetData>
  <mergeCells count="1">
    <mergeCell ref="B29:K30"/>
  </mergeCells>
  <hyperlinks>
    <hyperlink ref="J1" location="'Oversikt'!A1" display="Oversikt" xr:uid="{418F58C3-1753-4951-A047-ED65D62C6A29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6D86-B9CB-4DA9-B9FD-CD02B9885443}">
  <sheetPr codeName="Ark8">
    <tabColor theme="9" tint="0.59999389629810485"/>
  </sheetPr>
  <dimension ref="A1:K35"/>
  <sheetViews>
    <sheetView topLeftCell="A5" zoomScale="80" zoomScaleNormal="80" workbookViewId="0">
      <selection activeCell="I1" sqref="I1"/>
    </sheetView>
  </sheetViews>
  <sheetFormatPr baseColWidth="10" defaultColWidth="11.42578125" defaultRowHeight="15" x14ac:dyDescent="0.25"/>
  <sheetData>
    <row r="1" spans="1:11" ht="18.75" x14ac:dyDescent="0.3">
      <c r="A1" s="127"/>
      <c r="B1" s="128" t="s">
        <v>134</v>
      </c>
      <c r="C1" s="129"/>
      <c r="D1" s="128"/>
      <c r="E1" s="127"/>
      <c r="F1" s="130"/>
      <c r="G1" s="129"/>
      <c r="H1" s="128"/>
      <c r="I1" s="800" t="s">
        <v>50</v>
      </c>
      <c r="J1" s="130"/>
      <c r="K1" s="129"/>
    </row>
    <row r="2" spans="1:11" ht="15.75" thickBot="1" x14ac:dyDescent="0.3">
      <c r="B2" s="131"/>
      <c r="C2" s="3"/>
      <c r="D2" s="7"/>
      <c r="F2" s="131"/>
      <c r="G2" s="3"/>
      <c r="H2" s="7"/>
      <c r="J2" s="131"/>
      <c r="K2" s="3"/>
    </row>
    <row r="3" spans="1:11" x14ac:dyDescent="0.25">
      <c r="A3" s="132"/>
      <c r="B3" s="133" t="s">
        <v>125</v>
      </c>
      <c r="C3" s="134"/>
      <c r="D3" s="135"/>
      <c r="E3" s="132"/>
      <c r="F3" s="133" t="s">
        <v>126</v>
      </c>
      <c r="G3" s="134"/>
      <c r="H3" s="135"/>
    </row>
    <row r="4" spans="1:11" x14ac:dyDescent="0.25">
      <c r="A4" s="136"/>
      <c r="B4" s="7"/>
      <c r="C4" s="3"/>
      <c r="D4" s="137"/>
      <c r="E4" s="136"/>
      <c r="F4" s="7"/>
      <c r="G4" s="3"/>
      <c r="H4" s="137"/>
    </row>
    <row r="5" spans="1:11" x14ac:dyDescent="0.25">
      <c r="A5" s="136"/>
      <c r="B5" s="131"/>
      <c r="C5" s="3"/>
      <c r="D5" s="137"/>
      <c r="E5" s="136"/>
      <c r="F5" s="131"/>
      <c r="G5" s="3"/>
      <c r="H5" s="137"/>
    </row>
    <row r="6" spans="1:11" x14ac:dyDescent="0.25">
      <c r="A6" s="136">
        <v>1</v>
      </c>
      <c r="B6">
        <f>7575-154+7</f>
        <v>7428</v>
      </c>
      <c r="C6" s="3" t="s">
        <v>106</v>
      </c>
      <c r="D6" s="137">
        <f>B6+161</f>
        <v>7589</v>
      </c>
      <c r="E6" s="136">
        <v>1</v>
      </c>
      <c r="F6" s="131">
        <v>7428</v>
      </c>
      <c r="G6" s="3" t="s">
        <v>106</v>
      </c>
      <c r="H6" s="137">
        <v>7589</v>
      </c>
    </row>
    <row r="7" spans="1:11" x14ac:dyDescent="0.25">
      <c r="A7" s="136">
        <v>2</v>
      </c>
      <c r="B7">
        <f>+B6+7</f>
        <v>7435</v>
      </c>
      <c r="C7" s="3" t="s">
        <v>106</v>
      </c>
      <c r="D7" s="137">
        <f t="shared" ref="D7:D25" si="0">B7+161</f>
        <v>7596</v>
      </c>
      <c r="E7" s="136"/>
      <c r="F7" s="131"/>
      <c r="G7" s="3"/>
      <c r="H7" s="137"/>
    </row>
    <row r="8" spans="1:11" x14ac:dyDescent="0.25">
      <c r="A8" s="136">
        <v>3</v>
      </c>
      <c r="B8">
        <f t="shared" ref="B8:B21" si="1">+B7+7</f>
        <v>7442</v>
      </c>
      <c r="C8" s="3" t="s">
        <v>106</v>
      </c>
      <c r="D8" s="137">
        <f t="shared" si="0"/>
        <v>7603</v>
      </c>
      <c r="E8" s="136"/>
      <c r="F8" s="131"/>
      <c r="G8" s="3"/>
      <c r="H8" s="137"/>
    </row>
    <row r="9" spans="1:11" x14ac:dyDescent="0.25">
      <c r="A9" s="136">
        <v>4</v>
      </c>
      <c r="B9">
        <f t="shared" si="1"/>
        <v>7449</v>
      </c>
      <c r="C9" s="3" t="s">
        <v>106</v>
      </c>
      <c r="D9" s="137">
        <f t="shared" si="0"/>
        <v>7610</v>
      </c>
      <c r="E9" s="136"/>
      <c r="F9" s="131"/>
      <c r="G9" s="3"/>
      <c r="H9" s="137"/>
    </row>
    <row r="10" spans="1:11" x14ac:dyDescent="0.25">
      <c r="A10" s="136">
        <v>5</v>
      </c>
      <c r="B10">
        <f t="shared" si="1"/>
        <v>7456</v>
      </c>
      <c r="C10" s="3" t="s">
        <v>106</v>
      </c>
      <c r="D10" s="137">
        <f t="shared" si="0"/>
        <v>7617</v>
      </c>
      <c r="E10" s="136">
        <v>2</v>
      </c>
      <c r="F10" s="131">
        <f>+F6+28</f>
        <v>7456</v>
      </c>
      <c r="G10" s="3" t="s">
        <v>106</v>
      </c>
      <c r="H10" s="137">
        <f>+H6+28</f>
        <v>7617</v>
      </c>
    </row>
    <row r="11" spans="1:11" x14ac:dyDescent="0.25">
      <c r="A11" s="136">
        <v>6</v>
      </c>
      <c r="B11">
        <f t="shared" si="1"/>
        <v>7463</v>
      </c>
      <c r="C11" s="3" t="s">
        <v>106</v>
      </c>
      <c r="D11" s="137">
        <f t="shared" si="0"/>
        <v>7624</v>
      </c>
      <c r="E11" s="136"/>
      <c r="F11" s="131"/>
      <c r="G11" s="3" t="s">
        <v>127</v>
      </c>
      <c r="H11" s="137"/>
    </row>
    <row r="12" spans="1:11" x14ac:dyDescent="0.25">
      <c r="A12" s="136">
        <v>7</v>
      </c>
      <c r="B12">
        <f t="shared" si="1"/>
        <v>7470</v>
      </c>
      <c r="C12" s="3" t="s">
        <v>106</v>
      </c>
      <c r="D12" s="137">
        <f t="shared" si="0"/>
        <v>7631</v>
      </c>
      <c r="E12" s="136"/>
      <c r="F12" s="131"/>
      <c r="G12" s="3"/>
      <c r="H12" s="137"/>
    </row>
    <row r="13" spans="1:11" x14ac:dyDescent="0.25">
      <c r="A13" s="136">
        <v>8</v>
      </c>
      <c r="B13">
        <f t="shared" si="1"/>
        <v>7477</v>
      </c>
      <c r="C13" s="3" t="s">
        <v>106</v>
      </c>
      <c r="D13" s="137">
        <f t="shared" si="0"/>
        <v>7638</v>
      </c>
      <c r="E13" s="136"/>
      <c r="F13" s="131"/>
      <c r="G13" s="3"/>
      <c r="H13" s="137"/>
    </row>
    <row r="14" spans="1:11" x14ac:dyDescent="0.25">
      <c r="A14" s="136">
        <v>9</v>
      </c>
      <c r="B14">
        <f t="shared" si="1"/>
        <v>7484</v>
      </c>
      <c r="C14" s="3" t="s">
        <v>106</v>
      </c>
      <c r="D14" s="137">
        <f t="shared" si="0"/>
        <v>7645</v>
      </c>
      <c r="E14" s="136">
        <v>3</v>
      </c>
      <c r="F14" s="131">
        <f>+F10+28</f>
        <v>7484</v>
      </c>
      <c r="G14" s="3" t="s">
        <v>106</v>
      </c>
      <c r="H14" s="137">
        <f>+H10+28</f>
        <v>7645</v>
      </c>
    </row>
    <row r="15" spans="1:11" x14ac:dyDescent="0.25">
      <c r="A15" s="136">
        <v>10</v>
      </c>
      <c r="B15">
        <f t="shared" si="1"/>
        <v>7491</v>
      </c>
      <c r="C15" s="3" t="s">
        <v>106</v>
      </c>
      <c r="D15" s="137">
        <f t="shared" si="0"/>
        <v>7652</v>
      </c>
      <c r="E15" s="136"/>
      <c r="F15" s="131"/>
      <c r="G15" s="3" t="s">
        <v>127</v>
      </c>
      <c r="H15" s="137"/>
    </row>
    <row r="16" spans="1:11" x14ac:dyDescent="0.25">
      <c r="A16" s="136">
        <v>11</v>
      </c>
      <c r="B16">
        <f t="shared" si="1"/>
        <v>7498</v>
      </c>
      <c r="C16" s="3" t="s">
        <v>106</v>
      </c>
      <c r="D16" s="137">
        <f t="shared" si="0"/>
        <v>7659</v>
      </c>
      <c r="E16" s="136"/>
      <c r="F16" s="131"/>
      <c r="G16" s="3"/>
      <c r="H16" s="137"/>
    </row>
    <row r="17" spans="1:11" x14ac:dyDescent="0.25">
      <c r="A17" s="136">
        <v>12</v>
      </c>
      <c r="B17">
        <f t="shared" si="1"/>
        <v>7505</v>
      </c>
      <c r="C17" s="3" t="s">
        <v>106</v>
      </c>
      <c r="D17" s="137">
        <f t="shared" si="0"/>
        <v>7666</v>
      </c>
      <c r="E17" s="136"/>
      <c r="F17" s="131"/>
      <c r="G17" s="3"/>
      <c r="H17" s="137"/>
    </row>
    <row r="18" spans="1:11" x14ac:dyDescent="0.25">
      <c r="A18" s="136">
        <v>13</v>
      </c>
      <c r="B18">
        <f t="shared" si="1"/>
        <v>7512</v>
      </c>
      <c r="C18" s="3" t="s">
        <v>106</v>
      </c>
      <c r="D18" s="137">
        <f t="shared" si="0"/>
        <v>7673</v>
      </c>
      <c r="E18" s="136">
        <v>4</v>
      </c>
      <c r="F18" s="131">
        <f>+F14+28</f>
        <v>7512</v>
      </c>
      <c r="G18" s="3" t="s">
        <v>106</v>
      </c>
      <c r="H18" s="137">
        <f>+H14+28</f>
        <v>7673</v>
      </c>
    </row>
    <row r="19" spans="1:11" x14ac:dyDescent="0.25">
      <c r="A19" s="136">
        <v>14</v>
      </c>
      <c r="B19">
        <f t="shared" si="1"/>
        <v>7519</v>
      </c>
      <c r="C19" s="3" t="s">
        <v>106</v>
      </c>
      <c r="D19" s="137">
        <f t="shared" si="0"/>
        <v>7680</v>
      </c>
      <c r="E19" s="136"/>
      <c r="F19" s="131"/>
      <c r="G19" s="3" t="s">
        <v>127</v>
      </c>
      <c r="H19" s="137"/>
    </row>
    <row r="20" spans="1:11" x14ac:dyDescent="0.25">
      <c r="A20" s="136">
        <v>15</v>
      </c>
      <c r="B20">
        <f t="shared" si="1"/>
        <v>7526</v>
      </c>
      <c r="C20" s="3" t="s">
        <v>106</v>
      </c>
      <c r="D20" s="137">
        <f t="shared" si="0"/>
        <v>7687</v>
      </c>
      <c r="E20" s="136"/>
      <c r="F20" s="131"/>
      <c r="G20" s="3"/>
      <c r="H20" s="137"/>
    </row>
    <row r="21" spans="1:11" x14ac:dyDescent="0.25">
      <c r="A21" s="136">
        <v>16</v>
      </c>
      <c r="B21">
        <f t="shared" si="1"/>
        <v>7533</v>
      </c>
      <c r="C21" s="3" t="s">
        <v>106</v>
      </c>
      <c r="D21" s="137">
        <f t="shared" si="0"/>
        <v>7694</v>
      </c>
      <c r="E21" s="136"/>
      <c r="F21" s="131"/>
      <c r="G21" s="3"/>
      <c r="H21" s="137"/>
    </row>
    <row r="22" spans="1:11" x14ac:dyDescent="0.25">
      <c r="A22" s="136">
        <v>17</v>
      </c>
      <c r="B22">
        <v>7540</v>
      </c>
      <c r="C22" s="3" t="s">
        <v>106</v>
      </c>
      <c r="D22" s="137">
        <f t="shared" si="0"/>
        <v>7701</v>
      </c>
      <c r="E22" s="143">
        <v>5</v>
      </c>
      <c r="F22" s="52">
        <f>+F18+28</f>
        <v>7540</v>
      </c>
      <c r="G22" s="50" t="s">
        <v>106</v>
      </c>
      <c r="H22" s="144">
        <f>+H18+28</f>
        <v>7701</v>
      </c>
    </row>
    <row r="23" spans="1:11" x14ac:dyDescent="0.25">
      <c r="A23" s="136">
        <v>18</v>
      </c>
      <c r="B23">
        <v>7547</v>
      </c>
      <c r="C23" s="3" t="s">
        <v>106</v>
      </c>
      <c r="D23" s="137">
        <f t="shared" si="0"/>
        <v>7708</v>
      </c>
      <c r="E23" s="136"/>
      <c r="F23" s="131" t="s">
        <v>127</v>
      </c>
      <c r="G23" s="3" t="s">
        <v>127</v>
      </c>
      <c r="H23" s="137"/>
    </row>
    <row r="24" spans="1:11" x14ac:dyDescent="0.25">
      <c r="A24" s="136">
        <v>19</v>
      </c>
      <c r="B24">
        <v>7554</v>
      </c>
      <c r="C24" s="3" t="s">
        <v>106</v>
      </c>
      <c r="D24" s="137">
        <f t="shared" si="0"/>
        <v>7715</v>
      </c>
      <c r="E24" s="136"/>
      <c r="F24" s="131"/>
      <c r="G24" s="3"/>
      <c r="H24" s="137"/>
    </row>
    <row r="25" spans="1:11" x14ac:dyDescent="0.25">
      <c r="A25" s="136">
        <v>20</v>
      </c>
      <c r="B25">
        <v>7561</v>
      </c>
      <c r="C25" s="3" t="s">
        <v>106</v>
      </c>
      <c r="D25" s="137">
        <f t="shared" si="0"/>
        <v>7722</v>
      </c>
      <c r="E25" s="136"/>
      <c r="F25" s="131"/>
      <c r="G25" s="3"/>
      <c r="H25" s="137"/>
    </row>
    <row r="26" spans="1:11" x14ac:dyDescent="0.25">
      <c r="A26" s="136"/>
      <c r="B26" s="131"/>
      <c r="C26" s="3"/>
      <c r="D26" s="137"/>
      <c r="E26" s="136"/>
      <c r="F26" s="131"/>
      <c r="G26" s="3"/>
      <c r="H26" s="137"/>
    </row>
    <row r="27" spans="1:11" ht="15.75" thickBot="1" x14ac:dyDescent="0.3">
      <c r="A27" s="138"/>
      <c r="B27" s="139" t="s">
        <v>128</v>
      </c>
      <c r="C27" s="140"/>
      <c r="D27" s="141"/>
      <c r="E27" s="138"/>
      <c r="F27" s="139" t="s">
        <v>128</v>
      </c>
      <c r="G27" s="140"/>
      <c r="H27" s="141"/>
    </row>
    <row r="28" spans="1:11" x14ac:dyDescent="0.25">
      <c r="B28" s="131"/>
      <c r="C28" s="3"/>
      <c r="D28" s="7"/>
      <c r="F28" s="131"/>
      <c r="G28" s="3"/>
      <c r="H28" s="7"/>
      <c r="J28" s="131"/>
      <c r="K28" s="3"/>
    </row>
    <row r="29" spans="1:11" x14ac:dyDescent="0.25">
      <c r="B29" s="947" t="s">
        <v>129</v>
      </c>
      <c r="C29" s="947"/>
      <c r="D29" s="947"/>
      <c r="E29" s="947"/>
      <c r="F29" s="947"/>
      <c r="G29" s="947"/>
      <c r="H29" s="947"/>
      <c r="I29" s="947"/>
      <c r="J29" s="947"/>
      <c r="K29" s="947"/>
    </row>
    <row r="30" spans="1:11" x14ac:dyDescent="0.25">
      <c r="B30" s="947"/>
      <c r="C30" s="947"/>
      <c r="D30" s="947"/>
      <c r="E30" s="947"/>
      <c r="F30" s="947"/>
      <c r="G30" s="947"/>
      <c r="H30" s="947"/>
      <c r="I30" s="947"/>
      <c r="J30" s="947"/>
      <c r="K30" s="947"/>
    </row>
    <row r="31" spans="1:11" x14ac:dyDescent="0.25">
      <c r="B31" s="142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5">
      <c r="B32" s="51" t="s">
        <v>131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2:11" x14ac:dyDescent="0.25">
      <c r="B33" s="49" t="s">
        <v>132</v>
      </c>
      <c r="C33" s="3"/>
      <c r="D33" s="7"/>
      <c r="F33" s="131"/>
      <c r="G33" s="3"/>
      <c r="H33" s="7"/>
      <c r="J33" s="131"/>
      <c r="K33" s="3"/>
    </row>
    <row r="34" spans="2:11" x14ac:dyDescent="0.25">
      <c r="B34" s="49" t="s">
        <v>133</v>
      </c>
      <c r="C34" s="3"/>
      <c r="D34" s="7"/>
      <c r="F34" s="131"/>
      <c r="G34" s="3"/>
      <c r="H34" s="7"/>
      <c r="J34" s="131"/>
      <c r="K34" s="3"/>
    </row>
    <row r="35" spans="2:11" x14ac:dyDescent="0.25">
      <c r="B35" s="131"/>
      <c r="C35" s="3"/>
      <c r="D35" s="7"/>
      <c r="F35" s="131"/>
      <c r="G35" s="3"/>
      <c r="H35" s="7"/>
      <c r="J35" s="131"/>
      <c r="K35" s="3"/>
    </row>
  </sheetData>
  <mergeCells count="1">
    <mergeCell ref="B29:K30"/>
  </mergeCells>
  <hyperlinks>
    <hyperlink ref="I1" location="'Oversikt'!A1" display="Oversikt" xr:uid="{CA72EC88-FBE9-46E9-9CB6-C1A420CDB3EC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069974-c2bc-4633-b119-4ffe4bcc7f6b" xsi:nil="true"/>
    <lcf76f155ced4ddcb4097134ff3c332f xmlns="19bb5213-1a82-4b6e-9812-265dde47ed6a">
      <Terms xmlns="http://schemas.microsoft.com/office/infopath/2007/PartnerControls"/>
    </lcf76f155ced4ddcb4097134ff3c332f>
    <_Flow_SignoffStatus xmlns="19bb5213-1a82-4b6e-9812-265dde47ed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A07E37FD6BE7409E15C7DB1B221A9A" ma:contentTypeVersion="22" ma:contentTypeDescription="Opprett et nytt dokument." ma:contentTypeScope="" ma:versionID="3831a53bd6094fd578b5e45c2ff6f27a">
  <xsd:schema xmlns:xsd="http://www.w3.org/2001/XMLSchema" xmlns:xs="http://www.w3.org/2001/XMLSchema" xmlns:p="http://schemas.microsoft.com/office/2006/metadata/properties" xmlns:ns2="19bb5213-1a82-4b6e-9812-265dde47ed6a" xmlns:ns3="8a069974-c2bc-4633-b119-4ffe4bcc7f6b" targetNamespace="http://schemas.microsoft.com/office/2006/metadata/properties" ma:root="true" ma:fieldsID="6901d71fca9cfcf910f748a3ff88ffc5" ns2:_="" ns3:_="">
    <xsd:import namespace="19bb5213-1a82-4b6e-9812-265dde47ed6a"/>
    <xsd:import namespace="8a069974-c2bc-4633-b119-4ffe4bcc7f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b5213-1a82-4b6e-9812-265dde47ed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22" nillable="true" ma:displayName="Godkjenningsstatus" ma:internalName="Godkjenningsstatus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69974-c2bc-4633-b119-4ffe4bcc7f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be564c-a77c-44ca-ac21-9122bb46208b}" ma:internalName="TaxCatchAll" ma:showField="CatchAllData" ma:web="8a069974-c2bc-4633-b119-4ffe4bcc7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FDABC3-B994-4840-885E-60347866D4AA}">
  <ds:schemaRefs>
    <ds:schemaRef ds:uri="http://schemas.microsoft.com/office/2006/metadata/properties"/>
    <ds:schemaRef ds:uri="http://schemas.microsoft.com/office/infopath/2007/PartnerControls"/>
    <ds:schemaRef ds:uri="8a069974-c2bc-4633-b119-4ffe4bcc7f6b"/>
    <ds:schemaRef ds:uri="19bb5213-1a82-4b6e-9812-265dde47ed6a"/>
  </ds:schemaRefs>
</ds:datastoreItem>
</file>

<file path=customXml/itemProps2.xml><?xml version="1.0" encoding="utf-8"?>
<ds:datastoreItem xmlns:ds="http://schemas.openxmlformats.org/officeDocument/2006/customXml" ds:itemID="{BDCC6FB7-EB33-4FAC-B503-81A98B3B6811}"/>
</file>

<file path=customXml/itemProps3.xml><?xml version="1.0" encoding="utf-8"?>
<ds:datastoreItem xmlns:ds="http://schemas.openxmlformats.org/officeDocument/2006/customXml" ds:itemID="{9E0B821D-8E02-45B4-AD43-939B4B899AA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377c913-9174-4e24-bb49-d479a9f5dee4}" enabled="1" method="Privileged" siteId="{ad83e65c-03f6-4cfd-b799-47a2fafd7bc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Oversikt</vt:lpstr>
      <vt:lpstr>P2P-P2MP</vt:lpstr>
      <vt:lpstr>438-438,85 &gt;&lt; 445-445,85 MHz</vt:lpstr>
      <vt:lpstr>438,9-439,6 &gt;&lt; 445,9-446,6 MHz</vt:lpstr>
      <vt:lpstr>442-442,985 &gt;&lt; 447-447,985 MHz</vt:lpstr>
      <vt:lpstr>L6GHz</vt:lpstr>
      <vt:lpstr>H6GHz</vt:lpstr>
      <vt:lpstr>L7GHz</vt:lpstr>
      <vt:lpstr>H7GHz</vt:lpstr>
      <vt:lpstr>8GHz</vt:lpstr>
      <vt:lpstr>L10GHz</vt:lpstr>
      <vt:lpstr>H10GHz</vt:lpstr>
      <vt:lpstr>13GHz</vt:lpstr>
      <vt:lpstr>18GHz</vt:lpstr>
      <vt:lpstr>23GHz</vt:lpstr>
      <vt:lpstr>28GHz</vt:lpstr>
      <vt:lpstr>32GHz</vt:lpstr>
      <vt:lpstr>38GHz</vt:lpstr>
      <vt:lpstr>71_76 og 81_86 GHz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Reian,Bård</dc:creator>
  <cp:keywords/>
  <dc:description/>
  <cp:lastModifiedBy>Bård Reian</cp:lastModifiedBy>
  <cp:revision/>
  <dcterms:created xsi:type="dcterms:W3CDTF">2021-08-26T12:43:35Z</dcterms:created>
  <dcterms:modified xsi:type="dcterms:W3CDTF">2026-04-15T11:20:31Z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0x010100B0A07E37FD6BE7409E15C7DB1B221A9A</vt:lpwstr>
  </property>
  <property fmtid="{D5CDD505-2E9C-101B-9397-08002B2CF9AE}" pid="3" name="MediaServiceImageTags">
    <vt:lpwstr/>
  </property>
</Properties>
</file>